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A 2021\INFOGRAFIS 2021\"/>
    </mc:Choice>
  </mc:AlternateContent>
  <bookViews>
    <workbookView xWindow="0" yWindow="0" windowWidth="19200" windowHeight="6735"/>
  </bookViews>
  <sheets>
    <sheet name="realisasi kegiatan" sheetId="4" r:id="rId1"/>
  </sheets>
  <definedNames>
    <definedName name="_xlnm.Print_Area" localSheetId="0">'realisasi kegiatan'!$A$1:$P$133</definedName>
    <definedName name="_xlnm.Print_Titles" localSheetId="0">'realisasi kegiatan'!$15:$17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4" i="4" l="1"/>
  <c r="K120" i="4" l="1"/>
  <c r="M120" i="4"/>
  <c r="O119" i="4"/>
  <c r="L119" i="4"/>
  <c r="H118" i="4"/>
  <c r="H117" i="4"/>
  <c r="K116" i="4"/>
  <c r="M116" i="4"/>
  <c r="L115" i="4"/>
  <c r="H114" i="4"/>
  <c r="K111" i="4"/>
  <c r="H111" i="4"/>
  <c r="K109" i="4"/>
  <c r="O109" i="4"/>
  <c r="L108" i="4"/>
  <c r="K107" i="4"/>
  <c r="H106" i="4"/>
  <c r="K105" i="4"/>
  <c r="K103" i="4"/>
  <c r="H103" i="4"/>
  <c r="H101" i="4"/>
  <c r="K99" i="4"/>
  <c r="H99" i="4"/>
  <c r="M97" i="4"/>
  <c r="L97" i="4"/>
  <c r="K96" i="4"/>
  <c r="O94" i="4"/>
  <c r="L94" i="4"/>
  <c r="K92" i="4"/>
  <c r="H92" i="4"/>
  <c r="O91" i="4"/>
  <c r="L91" i="4"/>
  <c r="L89" i="4"/>
  <c r="L87" i="4"/>
  <c r="K86" i="4"/>
  <c r="H86" i="4"/>
  <c r="K85" i="4"/>
  <c r="M85" i="4"/>
  <c r="K84" i="4"/>
  <c r="L84" i="4"/>
  <c r="K83" i="4"/>
  <c r="M83" i="4"/>
  <c r="H82" i="4"/>
  <c r="K81" i="4"/>
  <c r="L81" i="4"/>
  <c r="M80" i="4"/>
  <c r="L80" i="4"/>
  <c r="K79" i="4"/>
  <c r="H78" i="4"/>
  <c r="L76" i="4"/>
  <c r="K75" i="4"/>
  <c r="H75" i="4"/>
  <c r="O74" i="4"/>
  <c r="K74" i="4"/>
  <c r="L74" i="4"/>
  <c r="K73" i="4"/>
  <c r="L73" i="4"/>
  <c r="K72" i="4"/>
  <c r="L72" i="4"/>
  <c r="L71" i="4"/>
  <c r="K70" i="4"/>
  <c r="L70" i="4"/>
  <c r="L69" i="4"/>
  <c r="K68" i="4"/>
  <c r="L68" i="4"/>
  <c r="K67" i="4"/>
  <c r="O67" i="4"/>
  <c r="K66" i="4"/>
  <c r="O66" i="4"/>
  <c r="K65" i="4"/>
  <c r="H64" i="4"/>
  <c r="O63" i="4"/>
  <c r="L63" i="4"/>
  <c r="L62" i="4"/>
  <c r="M61" i="4"/>
  <c r="K61" i="4"/>
  <c r="K60" i="4"/>
  <c r="H60" i="4"/>
  <c r="L59" i="4"/>
  <c r="K58" i="4"/>
  <c r="L58" i="4"/>
  <c r="O57" i="4"/>
  <c r="L57" i="4"/>
  <c r="O56" i="4"/>
  <c r="L56" i="4"/>
  <c r="K55" i="4"/>
  <c r="H55" i="4"/>
  <c r="N54" i="4"/>
  <c r="L54" i="4"/>
  <c r="K53" i="4"/>
  <c r="N53" i="4"/>
  <c r="K52" i="4"/>
  <c r="N52" i="4"/>
  <c r="O51" i="4"/>
  <c r="N51" i="4"/>
  <c r="K51" i="4"/>
  <c r="L51" i="4"/>
  <c r="K50" i="4"/>
  <c r="L50" i="4"/>
  <c r="K49" i="4"/>
  <c r="N49" i="4"/>
  <c r="K48" i="4"/>
  <c r="H47" i="4"/>
  <c r="K42" i="4"/>
  <c r="K41" i="4"/>
  <c r="L40" i="4"/>
  <c r="L39" i="4"/>
  <c r="K38" i="4"/>
  <c r="H38" i="4"/>
  <c r="K37" i="4"/>
  <c r="K36" i="4"/>
  <c r="H36" i="4"/>
  <c r="K35" i="4"/>
  <c r="L35" i="4"/>
  <c r="H34" i="4"/>
  <c r="K33" i="4"/>
  <c r="L33" i="4"/>
  <c r="H32" i="4"/>
  <c r="M30" i="4"/>
  <c r="K29" i="4"/>
  <c r="L29" i="4"/>
  <c r="L28" i="4"/>
  <c r="H27" i="4"/>
  <c r="K26" i="4"/>
  <c r="O26" i="4"/>
  <c r="K25" i="4"/>
  <c r="O25" i="4"/>
  <c r="K24" i="4"/>
  <c r="L24" i="4"/>
  <c r="K22" i="4"/>
  <c r="K21" i="4"/>
  <c r="N37" i="4"/>
  <c r="L66" i="4"/>
  <c r="N58" i="4"/>
  <c r="M70" i="4"/>
  <c r="L83" i="4"/>
  <c r="H110" i="4"/>
  <c r="K32" i="4"/>
  <c r="N50" i="4"/>
  <c r="L49" i="4"/>
  <c r="O24" i="4"/>
  <c r="H31" i="4"/>
  <c r="H19" i="4"/>
  <c r="H43" i="4" s="1"/>
  <c r="K34" i="4"/>
  <c r="K31" i="4"/>
  <c r="H98" i="4"/>
  <c r="O35" i="4"/>
  <c r="L116" i="4"/>
  <c r="L26" i="4"/>
  <c r="L105" i="4"/>
  <c r="K114" i="4"/>
  <c r="K110" i="4"/>
  <c r="L22" i="4"/>
  <c r="K47" i="4"/>
  <c r="O68" i="4"/>
  <c r="K27" i="4"/>
  <c r="O29" i="4"/>
  <c r="L42" i="4"/>
  <c r="L48" i="4"/>
  <c r="L53" i="4"/>
  <c r="K64" i="4"/>
  <c r="L67" i="4"/>
  <c r="K106" i="4"/>
  <c r="K98" i="4"/>
  <c r="H121" i="4"/>
  <c r="K78" i="4"/>
  <c r="K82" i="4"/>
  <c r="M81" i="4"/>
  <c r="O22" i="4"/>
  <c r="L37" i="4"/>
  <c r="O42" i="4"/>
  <c r="O72" i="4"/>
  <c r="M84" i="4"/>
  <c r="K118" i="4"/>
  <c r="K117" i="4"/>
  <c r="L120" i="4"/>
  <c r="L25" i="4"/>
  <c r="N48" i="4"/>
  <c r="L52" i="4"/>
  <c r="L61" i="4"/>
  <c r="L65" i="4"/>
  <c r="L79" i="4"/>
  <c r="L85" i="4"/>
  <c r="O105" i="4"/>
  <c r="L107" i="4"/>
  <c r="L109" i="4"/>
  <c r="K23" i="4"/>
  <c r="M65" i="4"/>
  <c r="M79" i="4"/>
  <c r="O107" i="4"/>
  <c r="K46" i="4"/>
  <c r="K121" i="4"/>
  <c r="K20" i="4"/>
  <c r="K19" i="4"/>
  <c r="K43" i="4"/>
</calcChain>
</file>

<file path=xl/sharedStrings.xml><?xml version="1.0" encoding="utf-8"?>
<sst xmlns="http://schemas.openxmlformats.org/spreadsheetml/2006/main" count="316" uniqueCount="200">
  <si>
    <t>PENDAPATAN</t>
  </si>
  <si>
    <t>Pendapatan Asli Desa</t>
  </si>
  <si>
    <t>Pendapatan Transfer</t>
  </si>
  <si>
    <t>JUMLAH PENDAPATAN</t>
  </si>
  <si>
    <t>BELANJA</t>
  </si>
  <si>
    <t>JUMLAH BELANJA</t>
  </si>
  <si>
    <t>PEMBIAYAAN</t>
  </si>
  <si>
    <t>Penerimaan Pembiayaan</t>
  </si>
  <si>
    <t>PEMBIAYAAN NETTO</t>
  </si>
  <si>
    <t>Dana Desa</t>
  </si>
  <si>
    <t>Alokasi Dana Desa</t>
  </si>
  <si>
    <t>Pendapatan Lain-lain</t>
  </si>
  <si>
    <t>KABUPATEN</t>
  </si>
  <si>
    <t>PROVINSI</t>
  </si>
  <si>
    <t>URAIAN</t>
  </si>
  <si>
    <t>Volume</t>
  </si>
  <si>
    <t>Satuan</t>
  </si>
  <si>
    <t>Dana Desa (Rp)</t>
  </si>
  <si>
    <t>Bentuk Lain</t>
  </si>
  <si>
    <t>Tunjangan BPD</t>
  </si>
  <si>
    <t>Sub Bidang Pertanahan</t>
  </si>
  <si>
    <t>Sub Bidang Pendidikan</t>
  </si>
  <si>
    <t>Sub Bidang Kesehatan</t>
  </si>
  <si>
    <t>Sub Bidang Pekerjaan Umum dan Penataan Ruang</t>
  </si>
  <si>
    <t>Sub Bidang Kebudayaan dan Keagamaan</t>
  </si>
  <si>
    <t>Sub Bidang Kelembagaan Masyarakat</t>
  </si>
  <si>
    <t>Sub Bidang Pertanian dan Peternakan</t>
  </si>
  <si>
    <t xml:space="preserve">LAPORAN REALISASI KEGIATAN </t>
  </si>
  <si>
    <t>OUTPUT</t>
  </si>
  <si>
    <t>SUMBER DANA</t>
  </si>
  <si>
    <t>RENCANA</t>
  </si>
  <si>
    <t>REALISASI</t>
  </si>
  <si>
    <t>Capaian (%)</t>
  </si>
  <si>
    <t>Alokasi Dana Desa (Rp)</t>
  </si>
  <si>
    <t>Sub Bidang Pemberdayaan Perempuan, Perlindungan Anak dan Keluarga</t>
  </si>
  <si>
    <t>TENTANG</t>
  </si>
  <si>
    <t>LAMPIRAN II</t>
  </si>
  <si>
    <t>: REJOSARI</t>
  </si>
  <si>
    <t>: SEMIN</t>
  </si>
  <si>
    <t>: GUNUNGKIDUL</t>
  </si>
  <si>
    <t>: D. I. YOGYAKARTA</t>
  </si>
  <si>
    <t>LAPORAN PERTANGGUNGJAWABAN REALISASI APB DESA TAHUN ANGGARAN 2020</t>
  </si>
  <si>
    <t>Hasil Usaha Desa</t>
  </si>
  <si>
    <t>Hasil Aset Desa</t>
  </si>
  <si>
    <t>Bagi Hasil Pajak dan Retribusi</t>
  </si>
  <si>
    <t>Bantuan Keuangan Kabupaten</t>
  </si>
  <si>
    <t>Penyediaan Penghasilan Tetap dan Tunjangan Kepala Desa</t>
  </si>
  <si>
    <t>Penyediaan Penghasilan Tetap dan Tunjangan Perangkat Desa</t>
  </si>
  <si>
    <t>Penyediaan Jaminan Sosial bagi Kepala Desa dan Perangkat Desa</t>
  </si>
  <si>
    <t>Penyediaan Tunjangan BPD</t>
  </si>
  <si>
    <t>Penyusunan monografi desa</t>
  </si>
  <si>
    <t>Pengembangan Sistem Informasi Desa</t>
  </si>
  <si>
    <t>Penghargaan purna tugas bagi aparatur pemerintahan desa</t>
  </si>
  <si>
    <t>Fasilitasi Sertifikasi Tanah untuk Masyarakat Miskin</t>
  </si>
  <si>
    <t>Penyelenggaraan Desa Siaga Kesehatan</t>
  </si>
  <si>
    <t>Sub Bidang Kawasan Pemukiman</t>
  </si>
  <si>
    <t>Pemberian stimulan jamban sehat</t>
  </si>
  <si>
    <t>Sub Bidang Perhubungan, Komunikasi dan Informatika</t>
  </si>
  <si>
    <t>Sub Bidang Ketenteraman, Ketertiban Umum dan Perlindungan Masyarakat</t>
  </si>
  <si>
    <t>Sub Bidang Kepemudaan dan Olahraga</t>
  </si>
  <si>
    <t>Pelaksanaan peringatan hari besar nasional</t>
  </si>
  <si>
    <t>Operasional Karang Taruna</t>
  </si>
  <si>
    <t>Operasional PKK</t>
  </si>
  <si>
    <t>OB</t>
  </si>
  <si>
    <t>bulan</t>
  </si>
  <si>
    <t>unit</t>
  </si>
  <si>
    <t>kegiatan</t>
  </si>
  <si>
    <t>paket</t>
  </si>
  <si>
    <t>PERIODE 01 JANUARI - 31 DESEMBER</t>
  </si>
  <si>
    <t>BIDANG PEMBINAAN KEMASYARAKATAN</t>
  </si>
  <si>
    <t>BIDANG PEMBERDAYAAN MASYARAKAT</t>
  </si>
  <si>
    <t>TAHUN ANGGARAN 2020</t>
  </si>
  <si>
    <t>NOMOR 1 TAHUN 2021</t>
  </si>
  <si>
    <t>PERATURAN KALURAHAN</t>
  </si>
  <si>
    <t>KALURAHAN</t>
  </si>
  <si>
    <t>KAPANEWON</t>
  </si>
  <si>
    <t>KODE REKENING</t>
  </si>
  <si>
    <t>NAMA  OUTPUT</t>
  </si>
  <si>
    <t>Lain- Lain (Rp)</t>
  </si>
  <si>
    <t>Anggaran (Rp)</t>
  </si>
  <si>
    <t>Bagi Hasil BUMDes</t>
  </si>
  <si>
    <t>ls</t>
  </si>
  <si>
    <t>Pasar Desa</t>
  </si>
  <si>
    <t>Hasil Kios Milik Desa</t>
  </si>
  <si>
    <t>Lain-lain Hasil Aset Desa</t>
  </si>
  <si>
    <t>Lain-Lain Pendapatan Asli Desa</t>
  </si>
  <si>
    <t>Pendapatan pungutan desa (pungutan PTSL)</t>
  </si>
  <si>
    <t>Hasil pengelolaan tanah kas desa</t>
  </si>
  <si>
    <t>Pengembalian atas temuan hasil pemeriksaan pengelolaan keuangan desa</t>
  </si>
  <si>
    <t>Bagi Hasil Pajak dan Retribusi Daerah Kabupaten/Kota</t>
  </si>
  <si>
    <t>Rehab balai padukuhan karangpilang lor</t>
  </si>
  <si>
    <t>Sarpras air bersih/ sumur bor Sempu Kidul</t>
  </si>
  <si>
    <t>Bunga Bank</t>
  </si>
  <si>
    <t>BIDANG PENYELENGGARAN PEMERINTAHAN DESA</t>
  </si>
  <si>
    <t xml:space="preserve">Penyelenggaran Belanja Siltap, Tunjangan dan Operasional Pemerintahan
Desa
</t>
  </si>
  <si>
    <t>Siltap dan tunjangan Kades</t>
  </si>
  <si>
    <t>Jamsos Kades dan perangkat desa</t>
  </si>
  <si>
    <t xml:space="preserve">Penyediaan Operasional Pemerintah Desa (ATK, Honor PKPKD dan PPKD
dll)
</t>
  </si>
  <si>
    <t>Operasional pemerintah desa</t>
  </si>
  <si>
    <t xml:space="preserve">Penyediaan Operasional BPD (rapat, ATK, Makan Minum, Pakaian Seragam,
Listrik dll)
</t>
  </si>
  <si>
    <t>Operasional BPD</t>
  </si>
  <si>
    <t>Penyediaan Insentif/Operasional RT/RW</t>
  </si>
  <si>
    <t>Insentif RT RW</t>
  </si>
  <si>
    <t>Penyediaan Sarana Prasarana Pemerintahan Desa</t>
  </si>
  <si>
    <t>Penyediaan Sarana (Aset Tetap) Perkantoran</t>
  </si>
  <si>
    <t>printer</t>
  </si>
  <si>
    <t>Pengadaan mebeleur</t>
  </si>
  <si>
    <t>1 set meja kursi ruang BPD dan kursi rapat</t>
  </si>
  <si>
    <t>Rehabilitasi/pemeliharaan kendaraan dinas/operasional</t>
  </si>
  <si>
    <t>Pemeliharaan kendaraan dinas</t>
  </si>
  <si>
    <t>kendaraan</t>
  </si>
  <si>
    <t>Penyediaan jasa perbaikan/servis peralatan kerja</t>
  </si>
  <si>
    <t>Perbaikan peralatan kantor</t>
  </si>
  <si>
    <t xml:space="preserve">Pengelolaan Administrasi Kependudukan, Pencatatan Sipil, Statistik dan
Kearsipan
</t>
  </si>
  <si>
    <t>Penyusunan, Pendataan, dan Pemutakhiran Profil Desa **)</t>
  </si>
  <si>
    <t>Pleno profil desa dan honor pengelola</t>
  </si>
  <si>
    <t>Pemetaan dan Analisis Kemiskinan Desa secara Partisipatif</t>
  </si>
  <si>
    <t>Verval BDT</t>
  </si>
  <si>
    <t>Dokumen monografi</t>
  </si>
  <si>
    <t>dokumen</t>
  </si>
  <si>
    <t xml:space="preserve">Penyelenggaraan Tata Praja Pemerintahan, Perencanaan, Keuangan dan
Pelaporan
</t>
  </si>
  <si>
    <t xml:space="preserve">Penyelenggaraan Musyawarah Perencanaan Desa/Pembahasan APBDes
(Reguler)
</t>
  </si>
  <si>
    <t>Terselenggaranya musdes dan musren</t>
  </si>
  <si>
    <t>Penyusunan Dokumen Perencanaan Desa (RPJMDesa/RKPDesa dll)</t>
  </si>
  <si>
    <t>Tersusunnya dokumen RPJMDes dan RKPDes</t>
  </si>
  <si>
    <t xml:space="preserve">Penyusunan Dokumen Keuangan Desa (APBDes, APBDes Perubahan, LPJ
dll)
</t>
  </si>
  <si>
    <t>Tersusunnya dokumen keuangan desa</t>
  </si>
  <si>
    <t>Pengelolaan Administrasi/ Inventarisasi/Penilaian Aset Desa</t>
  </si>
  <si>
    <t>Honor pengurus aset</t>
  </si>
  <si>
    <t xml:space="preserve">Penyusunan Laporan Kepala Desa, LPPDesa dan Informasi Kepada
Masyarakat
</t>
  </si>
  <si>
    <t>Tersusunnya LPPD</t>
  </si>
  <si>
    <t>Honor pengelola SID</t>
  </si>
  <si>
    <t xml:space="preserve">Dukungan &amp; Sosialisasi Pelaksanaan Pilkades, Pemilihan Ka. Kewilayahan
&amp; BPD
</t>
  </si>
  <si>
    <t>Sertijab</t>
  </si>
  <si>
    <t>Penyusunan laporan keuangan bulanan/SPJ dan semesteran</t>
  </si>
  <si>
    <t>Tersusunnya laporan bulanan</t>
  </si>
  <si>
    <t>Penghargaan purna tugas</t>
  </si>
  <si>
    <t>Pelaksanaan lomba/evaluasi perkembangan desa</t>
  </si>
  <si>
    <t>Terlaksananya evaluasi perkembangan desa</t>
  </si>
  <si>
    <t>Sertifikat tanah</t>
  </si>
  <si>
    <t>BIDANG PELAKSANAAN PEMBANGUNAN DESA</t>
  </si>
  <si>
    <t xml:space="preserve">Penyelenggaran PAUD/TK/TPA/TKA/TPQ/Madrasah NonFormal Milik Desa
(Honor, Pakaian dll)
</t>
  </si>
  <si>
    <t>Insentif pendidik</t>
  </si>
  <si>
    <t>Dukungan Penyelenggaran PAUD (APE, Sarana PAUD dst)</t>
  </si>
  <si>
    <t>Tersedianya APE</t>
  </si>
  <si>
    <t>instansi</t>
  </si>
  <si>
    <t xml:space="preserve">Pengelolaan Perpustakaan Milik Desa (Pengadaan Buku, Honor, Taman
Baca)
</t>
  </si>
  <si>
    <t>Honor pengelola perpus</t>
  </si>
  <si>
    <t>Penyelenggaraan Posyandu (Mkn Tambahan, Kls Bumil, Lamsia, Insentif)</t>
  </si>
  <si>
    <t>PMT Balita</t>
  </si>
  <si>
    <t>Operasional desa siaga</t>
  </si>
  <si>
    <t>Insentif kader kesehatan/KB</t>
  </si>
  <si>
    <t>Insentif kader</t>
  </si>
  <si>
    <t>Pemeliharaan Jalan Desa</t>
  </si>
  <si>
    <t>cor rabat beton</t>
  </si>
  <si>
    <t>Pemeliharaan Jalan Usaha Tani</t>
  </si>
  <si>
    <t>pemeliharaan jut</t>
  </si>
  <si>
    <t xml:space="preserve">Pembangunan/Rehabilitasi/Peningkatan/Pengerasan Jalan Lingkungan
Permukiman **)
</t>
  </si>
  <si>
    <t xml:space="preserve">Pembangunan/Rehabilitasi/Peningkatan Prasarana Jalan Desa (Gorong,
selokan dll)
</t>
  </si>
  <si>
    <t>pembangunan talud jalan</t>
  </si>
  <si>
    <t>Pembangunan/Rehabilitasi/Peningkatan Balai Desa/ Balai Kemasyarakatan</t>
  </si>
  <si>
    <t>rehab balai padukuhan Karangpilang Lor</t>
  </si>
  <si>
    <t xml:space="preserve">Dukungan Pelaksanaan Program Pembangunan/Rehab Rumah Tidak Layak
Huni GAKIN
</t>
  </si>
  <si>
    <t>stimulan 10 unit rtlh</t>
  </si>
  <si>
    <t>Penyediaan dan pengelolaan air bersih skala desa</t>
  </si>
  <si>
    <t>sumur bor Sempu Kidul</t>
  </si>
  <si>
    <t>stimulan 10 unit jamban</t>
  </si>
  <si>
    <t>Penyelenggaraan Informasi Publik Desa (Poster, Baliho Dll)</t>
  </si>
  <si>
    <t>cetak baliho transparansi</t>
  </si>
  <si>
    <t>Persiapan Kesiapsiagaan/Tanggap Bencana Skala Lokal Desa</t>
  </si>
  <si>
    <t>operasional lembaga fprb</t>
  </si>
  <si>
    <t>Pembinaan Group Kesenian dan Kebudayaan Tingkat Desa</t>
  </si>
  <si>
    <t>pembinaan grup kesenian</t>
  </si>
  <si>
    <t>grup</t>
  </si>
  <si>
    <t>terselenggaranya peringatan hari besar nasional</t>
  </si>
  <si>
    <t>operasional karangtaruna</t>
  </si>
  <si>
    <t xml:space="preserve">Optimalisasi peran Tim Koordinasi Penanggulangan Kemiskinan Desa
(TKPK Desa)
</t>
  </si>
  <si>
    <t>honor tkpk</t>
  </si>
  <si>
    <t>Operasional LPMD dan/atau LPMD</t>
  </si>
  <si>
    <t>operasional lpmd</t>
  </si>
  <si>
    <t>operasional pkk</t>
  </si>
  <si>
    <t>Pembinaan/Pemberdayaan kelompok tani/Gapoktan</t>
  </si>
  <si>
    <t>pembinaan gapoktan</t>
  </si>
  <si>
    <t>Lain-lain Kegiatan Sub Bidang Pertanian dan Peternakan</t>
  </si>
  <si>
    <t>pembinaan kelompok KUBE</t>
  </si>
  <si>
    <t>Peningkatan Kapasitas Perangkat Desa</t>
  </si>
  <si>
    <t>pembinaan perangkat desa</t>
  </si>
  <si>
    <t>Pelatihan dan Penguatan Penyandang Difable (Penyandang Disabilitas)</t>
  </si>
  <si>
    <t>operasional kelompok disabilitas</t>
  </si>
  <si>
    <t>rapat rutin</t>
  </si>
  <si>
    <t>rapat</t>
  </si>
  <si>
    <t>BIDANG PENANGGULANGAN BENCANA, DARURAT DAN MENDESAK DESA</t>
  </si>
  <si>
    <t>Sub Bidang Keadaan Mendesak Desa</t>
  </si>
  <si>
    <t>Kegiatan penanggulangan Bencana</t>
  </si>
  <si>
    <t>penanggulangan bencana</t>
  </si>
  <si>
    <t>Kegiatan Keadaan Mendesak Desa</t>
  </si>
  <si>
    <t>penanggulangan keadaan mendesak desa</t>
  </si>
  <si>
    <t>SURPLUS DEFISIT</t>
  </si>
  <si>
    <t>SISA LEBIH/(KURANG) PEMBIAYAAN ANGGARAN</t>
  </si>
  <si>
    <t>Siltap dan tunjangan perangkat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</si>
</sst>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&quot;-&quot;_-;_-@_-"/>
    <numFmt numFmtId="168" formatCode="_ * #,##0_ ;_ * \-#,##0_ ;_ * &quot;-&quot;_ ;_ @_ "/>
    <numFmt numFmtId="169" formatCode="00,000,000.00"/>
    <numFmt numFmtId="170" formatCode="0,000,000.00"/>
    <numFmt numFmtId="174" formatCode="0,000,000"/>
    <numFmt numFmtId="178" formatCode="_-* #,##0_-;\-* #,##0_-;_-* &quot;-&quot;??_-;_-@_-"/>
    <numFmt numFmtId="182" formatCode="000,000"/>
    <numFmt numFmtId="184" formatCode="0,000,000,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9"/>
      <color indexed="8"/>
      <name val="Bookman Old Style"/>
      <family val="1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3" applyFont="1" applyFill="1" applyBorder="1" applyAlignment="1" applyProtection="1">
      <alignment horizontal="left" vertical="top"/>
      <protection locked="0"/>
    </xf>
    <xf numFmtId="0" fontId="7" fillId="0" borderId="1" xfId="3" applyFont="1" applyBorder="1"/>
    <xf numFmtId="0" fontId="9" fillId="0" borderId="1" xfId="0" applyFont="1" applyBorder="1" applyAlignment="1">
      <alignment vertical="center"/>
    </xf>
    <xf numFmtId="168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9" fontId="10" fillId="0" borderId="1" xfId="3" applyNumberFormat="1" applyFont="1" applyFill="1" applyBorder="1" applyAlignment="1" applyProtection="1">
      <alignment horizontal="right" vertical="top"/>
      <protection locked="0"/>
    </xf>
    <xf numFmtId="168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70" fontId="10" fillId="0" borderId="1" xfId="3" applyNumberFormat="1" applyFont="1" applyFill="1" applyBorder="1" applyAlignment="1" applyProtection="1">
      <alignment horizontal="right" vertical="top"/>
      <protection locked="0"/>
    </xf>
    <xf numFmtId="0" fontId="7" fillId="0" borderId="1" xfId="3" applyFont="1" applyFill="1" applyBorder="1" applyAlignment="1" applyProtection="1">
      <alignment horizontal="left" vertical="top"/>
      <protection locked="0"/>
    </xf>
    <xf numFmtId="164" fontId="9" fillId="0" borderId="1" xfId="2" applyFont="1" applyBorder="1" applyAlignment="1">
      <alignment vertical="center"/>
    </xf>
    <xf numFmtId="9" fontId="9" fillId="0" borderId="1" xfId="4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11" fillId="0" borderId="1" xfId="2" applyFont="1" applyBorder="1" applyAlignment="1">
      <alignment vertical="center"/>
    </xf>
    <xf numFmtId="164" fontId="9" fillId="0" borderId="1" xfId="2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horizontal="left" vertical="top" wrapText="1"/>
      <protection locked="0"/>
    </xf>
    <xf numFmtId="164" fontId="7" fillId="0" borderId="1" xfId="2" applyFont="1" applyFill="1" applyBorder="1" applyAlignment="1" applyProtection="1">
      <alignment horizontal="right" vertical="top"/>
      <protection locked="0"/>
    </xf>
    <xf numFmtId="168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10" fillId="0" borderId="1" xfId="2" applyFont="1" applyFill="1" applyBorder="1" applyAlignment="1" applyProtection="1">
      <alignment horizontal="right" vertical="top"/>
      <protection locked="0"/>
    </xf>
    <xf numFmtId="0" fontId="10" fillId="0" borderId="1" xfId="3" applyFont="1" applyFill="1" applyBorder="1" applyAlignment="1" applyProtection="1">
      <alignment horizontal="center" vertical="top"/>
      <protection locked="0"/>
    </xf>
    <xf numFmtId="0" fontId="7" fillId="0" borderId="1" xfId="3" applyFont="1" applyFill="1" applyBorder="1" applyAlignment="1" applyProtection="1">
      <alignment horizontal="left" vertical="center" wrapText="1"/>
      <protection locked="0"/>
    </xf>
    <xf numFmtId="0" fontId="7" fillId="0" borderId="1" xfId="3" applyFont="1" applyFill="1" applyBorder="1" applyAlignment="1" applyProtection="1">
      <alignment horizontal="left" vertical="center"/>
      <protection locked="0"/>
    </xf>
    <xf numFmtId="174" fontId="7" fillId="0" borderId="1" xfId="3" applyNumberFormat="1" applyFont="1" applyFill="1" applyBorder="1" applyAlignment="1" applyProtection="1">
      <alignment horizontal="right" vertical="center"/>
      <protection locked="0"/>
    </xf>
    <xf numFmtId="0" fontId="7" fillId="0" borderId="1" xfId="3" applyFont="1" applyFill="1" applyBorder="1"/>
    <xf numFmtId="0" fontId="7" fillId="0" borderId="1" xfId="3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" xfId="3" applyFont="1" applyFill="1" applyBorder="1" applyAlignment="1">
      <alignment wrapTex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1" fillId="3" borderId="1" xfId="2" applyFont="1" applyFill="1" applyBorder="1" applyAlignment="1">
      <alignment vertical="center"/>
    </xf>
    <xf numFmtId="169" fontId="10" fillId="3" borderId="1" xfId="3" applyNumberFormat="1" applyFont="1" applyFill="1" applyBorder="1" applyAlignment="1" applyProtection="1">
      <alignment horizontal="right" vertical="top"/>
      <protection locked="0"/>
    </xf>
    <xf numFmtId="164" fontId="10" fillId="3" borderId="1" xfId="2" applyFont="1" applyFill="1" applyBorder="1" applyAlignment="1" applyProtection="1">
      <alignment horizontal="right" vertical="top"/>
      <protection locked="0"/>
    </xf>
    <xf numFmtId="168" fontId="11" fillId="3" borderId="1" xfId="0" applyNumberFormat="1" applyFont="1" applyFill="1" applyBorder="1" applyAlignment="1">
      <alignment vertical="center"/>
    </xf>
    <xf numFmtId="178" fontId="5" fillId="0" borderId="0" xfId="0" applyNumberFormat="1" applyFont="1"/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78" fontId="10" fillId="3" borderId="1" xfId="3" applyNumberFormat="1" applyFont="1" applyFill="1" applyBorder="1" applyAlignment="1" applyProtection="1">
      <alignment horizontal="right" vertical="top"/>
      <protection locked="0"/>
    </xf>
    <xf numFmtId="178" fontId="10" fillId="0" borderId="1" xfId="3" applyNumberFormat="1" applyFont="1" applyFill="1" applyBorder="1" applyAlignment="1" applyProtection="1">
      <alignment horizontal="right" vertical="top"/>
      <protection locked="0"/>
    </xf>
    <xf numFmtId="178" fontId="7" fillId="0" borderId="1" xfId="3" applyNumberFormat="1" applyFont="1" applyFill="1" applyBorder="1" applyAlignment="1" applyProtection="1">
      <alignment horizontal="right" vertical="top"/>
      <protection locked="0"/>
    </xf>
    <xf numFmtId="178" fontId="7" fillId="0" borderId="1" xfId="2" applyNumberFormat="1" applyFont="1" applyFill="1" applyBorder="1" applyAlignment="1" applyProtection="1">
      <alignment horizontal="right" vertical="top"/>
      <protection locked="0"/>
    </xf>
    <xf numFmtId="178" fontId="12" fillId="0" borderId="1" xfId="0" applyNumberFormat="1" applyFont="1" applyBorder="1" applyAlignment="1"/>
    <xf numFmtId="178" fontId="10" fillId="0" borderId="1" xfId="2" applyNumberFormat="1" applyFont="1" applyFill="1" applyBorder="1" applyAlignment="1" applyProtection="1">
      <alignment horizontal="right" vertical="top"/>
      <protection locked="0"/>
    </xf>
    <xf numFmtId="178" fontId="7" fillId="0" borderId="1" xfId="3" applyNumberFormat="1" applyFont="1" applyBorder="1"/>
    <xf numFmtId="178" fontId="7" fillId="0" borderId="1" xfId="3" applyNumberFormat="1" applyFont="1" applyFill="1" applyBorder="1" applyAlignment="1" applyProtection="1">
      <alignment horizontal="right" vertical="center"/>
      <protection locked="0"/>
    </xf>
    <xf numFmtId="178" fontId="7" fillId="0" borderId="1" xfId="2" applyNumberFormat="1" applyFont="1" applyFill="1" applyBorder="1" applyAlignment="1" applyProtection="1">
      <alignment horizontal="right" vertical="center"/>
      <protection locked="0"/>
    </xf>
    <xf numFmtId="178" fontId="10" fillId="3" borderId="1" xfId="2" applyNumberFormat="1" applyFont="1" applyFill="1" applyBorder="1" applyAlignment="1" applyProtection="1">
      <alignment horizontal="right" vertical="top"/>
      <protection locked="0"/>
    </xf>
    <xf numFmtId="178" fontId="0" fillId="0" borderId="0" xfId="0" applyNumberFormat="1" applyAlignment="1">
      <alignment vertical="center"/>
    </xf>
    <xf numFmtId="178" fontId="3" fillId="0" borderId="0" xfId="0" applyNumberFormat="1" applyFont="1"/>
    <xf numFmtId="178" fontId="4" fillId="0" borderId="0" xfId="0" applyNumberFormat="1" applyFont="1"/>
    <xf numFmtId="178" fontId="10" fillId="4" borderId="1" xfId="3" applyNumberFormat="1" applyFont="1" applyFill="1" applyBorder="1" applyAlignment="1" applyProtection="1">
      <alignment horizontal="right" vertical="top"/>
      <protection locked="0"/>
    </xf>
    <xf numFmtId="182" fontId="10" fillId="0" borderId="1" xfId="3" applyNumberFormat="1" applyFont="1" applyFill="1" applyBorder="1" applyAlignment="1" applyProtection="1">
      <alignment horizontal="right" vertical="top"/>
      <protection locked="0"/>
    </xf>
    <xf numFmtId="182" fontId="10" fillId="3" borderId="1" xfId="3" applyNumberFormat="1" applyFont="1" applyFill="1" applyBorder="1" applyAlignment="1" applyProtection="1">
      <alignment horizontal="right" vertical="top"/>
      <protection locked="0"/>
    </xf>
    <xf numFmtId="184" fontId="10" fillId="4" borderId="1" xfId="3" applyNumberFormat="1" applyFont="1" applyFill="1" applyBorder="1" applyAlignment="1" applyProtection="1">
      <alignment horizontal="right" vertical="top"/>
      <protection locked="0"/>
    </xf>
    <xf numFmtId="164" fontId="11" fillId="4" borderId="1" xfId="2" applyFont="1" applyFill="1" applyBorder="1" applyAlignment="1">
      <alignment vertical="center"/>
    </xf>
    <xf numFmtId="178" fontId="9" fillId="2" borderId="1" xfId="0" applyNumberFormat="1" applyFont="1" applyFill="1" applyBorder="1" applyAlignment="1">
      <alignment vertical="center"/>
    </xf>
    <xf numFmtId="168" fontId="9" fillId="2" borderId="1" xfId="0" applyNumberFormat="1" applyFont="1" applyFill="1" applyBorder="1" applyAlignment="1">
      <alignment vertical="center"/>
    </xf>
    <xf numFmtId="0" fontId="10" fillId="4" borderId="1" xfId="3" applyFont="1" applyFill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11" fillId="3" borderId="1" xfId="2" quotePrefix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178" fontId="7" fillId="3" borderId="1" xfId="3" applyNumberFormat="1" applyFont="1" applyFill="1" applyBorder="1"/>
    <xf numFmtId="0" fontId="9" fillId="3" borderId="1" xfId="0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0" fontId="10" fillId="3" borderId="1" xfId="3" applyFont="1" applyFill="1" applyBorder="1" applyAlignment="1" applyProtection="1">
      <alignment horizontal="left" vertical="top"/>
      <protection locked="0"/>
    </xf>
    <xf numFmtId="0" fontId="7" fillId="3" borderId="1" xfId="3" applyFont="1" applyFill="1" applyBorder="1"/>
  </cellXfs>
  <cellStyles count="5">
    <cellStyle name="Comma [0]" xfId="2" builtinId="6"/>
    <cellStyle name="Normal" xfId="0" builtinId="0"/>
    <cellStyle name="Normal 2" xfId="3"/>
    <cellStyle name="Normal 3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abSelected="1" topLeftCell="A111" zoomScale="80" zoomScaleNormal="80" workbookViewId="0">
      <selection activeCell="E130" sqref="E130"/>
    </sheetView>
  </sheetViews>
  <sheetFormatPr defaultColWidth="9.140625" defaultRowHeight="15" x14ac:dyDescent="0.25"/>
  <cols>
    <col min="1" max="3" width="5.28515625" style="2" customWidth="1"/>
    <col min="4" max="4" width="49.7109375" style="2" customWidth="1"/>
    <col min="5" max="5" width="18" style="2" customWidth="1"/>
    <col min="6" max="6" width="8.140625" style="2" customWidth="1"/>
    <col min="7" max="7" width="17.28515625" style="2" bestFit="1" customWidth="1"/>
    <col min="8" max="8" width="17.85546875" style="71" customWidth="1"/>
    <col min="9" max="9" width="8.42578125" style="2" customWidth="1"/>
    <col min="10" max="10" width="17.28515625" style="2" bestFit="1" customWidth="1"/>
    <col min="11" max="11" width="17.5703125" style="2" customWidth="1"/>
    <col min="12" max="12" width="13.5703125" style="2" customWidth="1"/>
    <col min="13" max="13" width="14" style="2" customWidth="1"/>
    <col min="14" max="14" width="13.28515625" style="2" customWidth="1"/>
    <col min="15" max="15" width="11.85546875" style="2" customWidth="1"/>
    <col min="16" max="16" width="9.140625" style="2"/>
    <col min="17" max="17" width="12" style="2" customWidth="1"/>
    <col min="18" max="16384" width="9.140625" style="2"/>
  </cols>
  <sheetData>
    <row r="1" spans="1:16" s="3" customFormat="1" x14ac:dyDescent="0.3">
      <c r="H1" s="56"/>
      <c r="L1" s="6" t="s">
        <v>36</v>
      </c>
    </row>
    <row r="2" spans="1:16" s="3" customFormat="1" x14ac:dyDescent="0.3">
      <c r="H2" s="56"/>
      <c r="L2" s="6" t="s">
        <v>73</v>
      </c>
    </row>
    <row r="3" spans="1:16" s="3" customFormat="1" x14ac:dyDescent="0.3">
      <c r="H3" s="56"/>
      <c r="L3" s="6" t="s">
        <v>72</v>
      </c>
    </row>
    <row r="4" spans="1:16" s="3" customFormat="1" x14ac:dyDescent="0.3">
      <c r="H4" s="56"/>
      <c r="L4" s="6" t="s">
        <v>35</v>
      </c>
    </row>
    <row r="5" spans="1:16" s="3" customFormat="1" ht="14.45" customHeight="1" x14ac:dyDescent="0.3">
      <c r="H5" s="56"/>
      <c r="L5" s="46" t="s">
        <v>41</v>
      </c>
      <c r="M5" s="46"/>
      <c r="N5" s="46"/>
      <c r="O5" s="46"/>
    </row>
    <row r="6" spans="1:16" s="3" customFormat="1" ht="29.25" customHeight="1" x14ac:dyDescent="0.3">
      <c r="H6" s="56"/>
      <c r="L6" s="46"/>
      <c r="M6" s="46"/>
      <c r="N6" s="46"/>
      <c r="O6" s="46"/>
    </row>
    <row r="7" spans="1:16" s="3" customFormat="1" x14ac:dyDescent="0.3">
      <c r="A7" s="47" t="s">
        <v>27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s="3" customFormat="1" x14ac:dyDescent="0.3">
      <c r="A8" s="48" t="s">
        <v>68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6" s="3" customFormat="1" x14ac:dyDescent="0.3">
      <c r="A9" s="47" t="s">
        <v>71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6" s="3" customFormat="1" x14ac:dyDescent="0.3">
      <c r="A10" s="3" t="s">
        <v>74</v>
      </c>
      <c r="D10" s="3" t="s">
        <v>37</v>
      </c>
      <c r="H10" s="56"/>
    </row>
    <row r="11" spans="1:16" s="3" customFormat="1" x14ac:dyDescent="0.3">
      <c r="A11" s="3" t="s">
        <v>75</v>
      </c>
      <c r="D11" s="3" t="s">
        <v>38</v>
      </c>
      <c r="H11" s="56"/>
    </row>
    <row r="12" spans="1:16" s="3" customFormat="1" x14ac:dyDescent="0.3">
      <c r="A12" s="3" t="s">
        <v>12</v>
      </c>
      <c r="D12" s="3" t="s">
        <v>39</v>
      </c>
      <c r="H12" s="56"/>
    </row>
    <row r="13" spans="1:16" s="3" customFormat="1" x14ac:dyDescent="0.3">
      <c r="A13" s="3" t="s">
        <v>13</v>
      </c>
      <c r="D13" s="3" t="s">
        <v>40</v>
      </c>
      <c r="H13" s="56"/>
    </row>
    <row r="14" spans="1:16" s="3" customFormat="1" x14ac:dyDescent="0.3">
      <c r="H14" s="56"/>
    </row>
    <row r="15" spans="1:16" s="7" customFormat="1" x14ac:dyDescent="0.25">
      <c r="A15" s="49" t="s">
        <v>76</v>
      </c>
      <c r="B15" s="49"/>
      <c r="C15" s="49"/>
      <c r="D15" s="50" t="s">
        <v>14</v>
      </c>
      <c r="E15" s="50" t="s">
        <v>77</v>
      </c>
      <c r="F15" s="49" t="s">
        <v>28</v>
      </c>
      <c r="G15" s="49"/>
      <c r="H15" s="49"/>
      <c r="I15" s="49"/>
      <c r="J15" s="49"/>
      <c r="K15" s="49"/>
      <c r="L15" s="49"/>
      <c r="M15" s="49" t="s">
        <v>29</v>
      </c>
      <c r="N15" s="49"/>
      <c r="O15" s="49"/>
      <c r="P15" s="49"/>
    </row>
    <row r="16" spans="1:16" s="7" customFormat="1" x14ac:dyDescent="0.25">
      <c r="A16" s="49"/>
      <c r="B16" s="49"/>
      <c r="C16" s="49"/>
      <c r="D16" s="50"/>
      <c r="E16" s="50"/>
      <c r="F16" s="49" t="s">
        <v>30</v>
      </c>
      <c r="G16" s="49"/>
      <c r="H16" s="49"/>
      <c r="I16" s="49" t="s">
        <v>31</v>
      </c>
      <c r="J16" s="49"/>
      <c r="K16" s="49"/>
      <c r="L16" s="49"/>
      <c r="M16" s="49" t="s">
        <v>17</v>
      </c>
      <c r="N16" s="49" t="s">
        <v>33</v>
      </c>
      <c r="O16" s="49" t="s">
        <v>78</v>
      </c>
      <c r="P16" s="49" t="s">
        <v>18</v>
      </c>
    </row>
    <row r="17" spans="1:16" s="7" customFormat="1" x14ac:dyDescent="0.25">
      <c r="A17" s="49"/>
      <c r="B17" s="49"/>
      <c r="C17" s="49"/>
      <c r="D17" s="50"/>
      <c r="E17" s="50"/>
      <c r="F17" s="8" t="s">
        <v>15</v>
      </c>
      <c r="G17" s="8" t="s">
        <v>16</v>
      </c>
      <c r="H17" s="57" t="s">
        <v>79</v>
      </c>
      <c r="I17" s="8" t="s">
        <v>15</v>
      </c>
      <c r="J17" s="8" t="s">
        <v>16</v>
      </c>
      <c r="K17" s="8" t="s">
        <v>79</v>
      </c>
      <c r="L17" s="8" t="s">
        <v>32</v>
      </c>
      <c r="M17" s="49"/>
      <c r="N17" s="49"/>
      <c r="O17" s="49"/>
      <c r="P17" s="49"/>
    </row>
    <row r="18" spans="1:16" s="7" customFormat="1" x14ac:dyDescent="0.25">
      <c r="A18" s="50">
        <v>1</v>
      </c>
      <c r="B18" s="50"/>
      <c r="C18" s="50"/>
      <c r="D18" s="9">
        <v>2</v>
      </c>
      <c r="E18" s="9">
        <v>3</v>
      </c>
      <c r="F18" s="9">
        <v>4</v>
      </c>
      <c r="G18" s="9">
        <v>5</v>
      </c>
      <c r="H18" s="58">
        <v>6</v>
      </c>
      <c r="I18" s="9">
        <v>7</v>
      </c>
      <c r="J18" s="9">
        <v>8</v>
      </c>
      <c r="K18" s="9">
        <v>9</v>
      </c>
      <c r="L18" s="9">
        <v>10</v>
      </c>
      <c r="M18" s="9">
        <v>11</v>
      </c>
      <c r="N18" s="9">
        <v>12</v>
      </c>
      <c r="O18" s="9">
        <v>13</v>
      </c>
      <c r="P18" s="9">
        <v>14</v>
      </c>
    </row>
    <row r="19" spans="1:16" s="16" customFormat="1" ht="12.75" x14ac:dyDescent="0.2">
      <c r="A19" s="10"/>
      <c r="B19" s="11"/>
      <c r="C19" s="11"/>
      <c r="D19" s="12" t="s">
        <v>0</v>
      </c>
      <c r="E19" s="13"/>
      <c r="F19" s="14"/>
      <c r="G19" s="14"/>
      <c r="H19" s="77">
        <f>H20+H31+H41</f>
        <v>1987490563</v>
      </c>
      <c r="I19" s="14"/>
      <c r="J19" s="14"/>
      <c r="K19" s="78">
        <f>K20+K31+K41</f>
        <v>1939950819</v>
      </c>
      <c r="L19" s="14"/>
      <c r="M19" s="14"/>
      <c r="N19" s="14"/>
      <c r="O19" s="14"/>
      <c r="P19" s="14"/>
    </row>
    <row r="20" spans="1:16" s="16" customFormat="1" ht="12.75" x14ac:dyDescent="0.25">
      <c r="A20" s="10"/>
      <c r="B20" s="11"/>
      <c r="C20" s="11"/>
      <c r="D20" s="12" t="s">
        <v>1</v>
      </c>
      <c r="E20" s="14"/>
      <c r="F20" s="14"/>
      <c r="G20" s="14"/>
      <c r="H20" s="59">
        <v>101311263</v>
      </c>
      <c r="I20" s="14"/>
      <c r="J20" s="14"/>
      <c r="K20" s="55">
        <f>K21+K23+K27</f>
        <v>55142663</v>
      </c>
      <c r="L20" s="14"/>
      <c r="M20" s="14"/>
      <c r="N20" s="14"/>
      <c r="O20" s="14"/>
      <c r="P20" s="14"/>
    </row>
    <row r="21" spans="1:16" s="16" customFormat="1" ht="12.75" x14ac:dyDescent="0.25">
      <c r="A21" s="10"/>
      <c r="B21" s="11"/>
      <c r="C21" s="11"/>
      <c r="D21" s="12" t="s">
        <v>42</v>
      </c>
      <c r="E21" s="19"/>
      <c r="F21" s="19"/>
      <c r="G21" s="19"/>
      <c r="H21" s="60">
        <v>2600000</v>
      </c>
      <c r="I21" s="19"/>
      <c r="J21" s="19"/>
      <c r="K21" s="18">
        <f>K22</f>
        <v>1691400</v>
      </c>
      <c r="L21" s="19"/>
      <c r="M21" s="14"/>
      <c r="N21" s="14"/>
      <c r="O21" s="14"/>
      <c r="P21" s="14"/>
    </row>
    <row r="22" spans="1:16" s="16" customFormat="1" ht="12.75" x14ac:dyDescent="0.25">
      <c r="A22" s="10"/>
      <c r="B22" s="11"/>
      <c r="C22" s="11"/>
      <c r="D22" s="21" t="s">
        <v>80</v>
      </c>
      <c r="E22" s="14"/>
      <c r="F22" s="11">
        <v>1</v>
      </c>
      <c r="G22" s="11" t="s">
        <v>81</v>
      </c>
      <c r="H22" s="61">
        <v>2600000</v>
      </c>
      <c r="I22" s="11">
        <v>1</v>
      </c>
      <c r="J22" s="11" t="s">
        <v>81</v>
      </c>
      <c r="K22" s="22">
        <f>172400+137100+667000+112500+125900+136000+112000+138000+90000+500</f>
        <v>1691400</v>
      </c>
      <c r="L22" s="23">
        <f>K22/H22</f>
        <v>0.65053846153846151</v>
      </c>
      <c r="M22" s="14"/>
      <c r="N22" s="14"/>
      <c r="O22" s="22">
        <f>K22</f>
        <v>1691400</v>
      </c>
      <c r="P22" s="14"/>
    </row>
    <row r="23" spans="1:16" s="16" customFormat="1" ht="12.75" x14ac:dyDescent="0.25">
      <c r="A23" s="11"/>
      <c r="B23" s="11"/>
      <c r="C23" s="11"/>
      <c r="D23" s="12" t="s">
        <v>43</v>
      </c>
      <c r="E23" s="19"/>
      <c r="F23" s="24"/>
      <c r="G23" s="24"/>
      <c r="H23" s="60">
        <v>17000000</v>
      </c>
      <c r="I23" s="24"/>
      <c r="J23" s="24"/>
      <c r="K23" s="25">
        <f>K24+K25+K26</f>
        <v>16990000</v>
      </c>
      <c r="L23" s="19"/>
      <c r="M23" s="14"/>
      <c r="N23" s="14"/>
      <c r="O23" s="25"/>
      <c r="P23" s="14"/>
    </row>
    <row r="24" spans="1:16" s="16" customFormat="1" ht="15" customHeight="1" x14ac:dyDescent="0.25">
      <c r="A24" s="11"/>
      <c r="B24" s="11"/>
      <c r="C24" s="11"/>
      <c r="D24" s="21" t="s">
        <v>82</v>
      </c>
      <c r="E24" s="14"/>
      <c r="F24" s="11">
        <v>1</v>
      </c>
      <c r="G24" s="11" t="s">
        <v>81</v>
      </c>
      <c r="H24" s="61">
        <v>3500000</v>
      </c>
      <c r="I24" s="11">
        <v>1</v>
      </c>
      <c r="J24" s="11" t="s">
        <v>81</v>
      </c>
      <c r="K24" s="26">
        <f>363000+361000+388000+396000+365000+402000+408000+404000+408000+816000+404000</f>
        <v>4715000</v>
      </c>
      <c r="L24" s="23">
        <f>K24/H24</f>
        <v>1.3471428571428572</v>
      </c>
      <c r="M24" s="27"/>
      <c r="N24" s="27"/>
      <c r="O24" s="26">
        <f>K24</f>
        <v>4715000</v>
      </c>
      <c r="P24" s="27"/>
    </row>
    <row r="25" spans="1:16" s="16" customFormat="1" ht="15" customHeight="1" x14ac:dyDescent="0.25">
      <c r="A25" s="11"/>
      <c r="B25" s="11"/>
      <c r="C25" s="11"/>
      <c r="D25" s="21" t="s">
        <v>83</v>
      </c>
      <c r="E25" s="14"/>
      <c r="F25" s="11">
        <v>1</v>
      </c>
      <c r="G25" s="11" t="s">
        <v>81</v>
      </c>
      <c r="H25" s="61">
        <v>9500000</v>
      </c>
      <c r="I25" s="11">
        <v>1</v>
      </c>
      <c r="J25" s="11" t="s">
        <v>81</v>
      </c>
      <c r="K25" s="22">
        <f>2500000+1600000+4500000+500000</f>
        <v>9100000</v>
      </c>
      <c r="L25" s="23">
        <f>K25/H25</f>
        <v>0.95789473684210524</v>
      </c>
      <c r="M25" s="27"/>
      <c r="N25" s="27"/>
      <c r="O25" s="26">
        <f>K25</f>
        <v>9100000</v>
      </c>
      <c r="P25" s="27"/>
    </row>
    <row r="26" spans="1:16" s="16" customFormat="1" ht="12.75" x14ac:dyDescent="0.25">
      <c r="A26" s="11"/>
      <c r="B26" s="11"/>
      <c r="C26" s="11"/>
      <c r="D26" s="21" t="s">
        <v>84</v>
      </c>
      <c r="E26" s="14"/>
      <c r="F26" s="11">
        <v>1</v>
      </c>
      <c r="G26" s="11" t="s">
        <v>81</v>
      </c>
      <c r="H26" s="61">
        <v>4000000</v>
      </c>
      <c r="I26" s="11">
        <v>1</v>
      </c>
      <c r="J26" s="11" t="s">
        <v>81</v>
      </c>
      <c r="K26" s="22">
        <f>200000+100000+100000+475000+500000+700000+750000+350000</f>
        <v>3175000</v>
      </c>
      <c r="L26" s="23">
        <f>K26/H26</f>
        <v>0.79374999999999996</v>
      </c>
      <c r="M26" s="28"/>
      <c r="N26" s="28"/>
      <c r="O26" s="26">
        <f>K26</f>
        <v>3175000</v>
      </c>
      <c r="P26" s="14"/>
    </row>
    <row r="27" spans="1:16" s="16" customFormat="1" ht="12.75" x14ac:dyDescent="0.25">
      <c r="A27" s="11"/>
      <c r="B27" s="11"/>
      <c r="C27" s="11"/>
      <c r="D27" s="12" t="s">
        <v>85</v>
      </c>
      <c r="E27" s="19"/>
      <c r="F27" s="24"/>
      <c r="G27" s="24"/>
      <c r="H27" s="60">
        <f>SUM(H28:H29)</f>
        <v>47000000</v>
      </c>
      <c r="I27" s="24"/>
      <c r="J27" s="24"/>
      <c r="K27" s="25">
        <f>K29+K30</f>
        <v>36461263</v>
      </c>
      <c r="L27" s="19"/>
      <c r="M27" s="28"/>
      <c r="N27" s="28"/>
      <c r="O27" s="28"/>
      <c r="P27" s="14"/>
    </row>
    <row r="28" spans="1:16" s="16" customFormat="1" ht="12.75" x14ac:dyDescent="0.25">
      <c r="A28" s="11"/>
      <c r="B28" s="11"/>
      <c r="C28" s="11"/>
      <c r="D28" s="21" t="s">
        <v>86</v>
      </c>
      <c r="E28" s="14"/>
      <c r="F28" s="11">
        <v>1</v>
      </c>
      <c r="G28" s="11" t="s">
        <v>81</v>
      </c>
      <c r="H28" s="61">
        <v>45000000</v>
      </c>
      <c r="I28" s="11">
        <v>1</v>
      </c>
      <c r="J28" s="11" t="s">
        <v>81</v>
      </c>
      <c r="K28" s="22">
        <v>0</v>
      </c>
      <c r="L28" s="23">
        <f>K28/H28</f>
        <v>0</v>
      </c>
      <c r="M28" s="28"/>
      <c r="N28" s="28"/>
      <c r="O28" s="28"/>
      <c r="P28" s="14"/>
    </row>
    <row r="29" spans="1:16" s="16" customFormat="1" ht="12.75" x14ac:dyDescent="0.25">
      <c r="A29" s="11"/>
      <c r="B29" s="11"/>
      <c r="C29" s="11"/>
      <c r="D29" s="21" t="s">
        <v>87</v>
      </c>
      <c r="E29" s="14"/>
      <c r="F29" s="11">
        <v>1</v>
      </c>
      <c r="G29" s="11" t="s">
        <v>81</v>
      </c>
      <c r="H29" s="61">
        <v>2000000</v>
      </c>
      <c r="I29" s="11">
        <v>1</v>
      </c>
      <c r="J29" s="11" t="s">
        <v>81</v>
      </c>
      <c r="K29" s="22">
        <f>350000+350000+350000+350000+350000</f>
        <v>1750000</v>
      </c>
      <c r="L29" s="23">
        <f>K29/H29</f>
        <v>0.875</v>
      </c>
      <c r="M29" s="28"/>
      <c r="N29" s="28"/>
      <c r="O29" s="22">
        <f>K29</f>
        <v>1750000</v>
      </c>
      <c r="P29" s="14"/>
    </row>
    <row r="30" spans="1:16" s="16" customFormat="1" ht="25.5" x14ac:dyDescent="0.25">
      <c r="A30" s="11"/>
      <c r="B30" s="11"/>
      <c r="C30" s="11"/>
      <c r="D30" s="29" t="s">
        <v>88</v>
      </c>
      <c r="E30" s="14"/>
      <c r="F30" s="11">
        <v>1</v>
      </c>
      <c r="G30" s="11" t="s">
        <v>81</v>
      </c>
      <c r="H30" s="62">
        <v>0</v>
      </c>
      <c r="I30" s="11">
        <v>1</v>
      </c>
      <c r="J30" s="11" t="s">
        <v>81</v>
      </c>
      <c r="K30" s="22">
        <v>34711263</v>
      </c>
      <c r="L30" s="23"/>
      <c r="M30" s="31">
        <f>K30</f>
        <v>34711263</v>
      </c>
      <c r="N30" s="28"/>
      <c r="O30" s="22"/>
      <c r="P30" s="14"/>
    </row>
    <row r="31" spans="1:16" s="16" customFormat="1" ht="12.75" x14ac:dyDescent="0.2">
      <c r="A31" s="11"/>
      <c r="B31" s="11"/>
      <c r="C31" s="11"/>
      <c r="D31" s="12" t="s">
        <v>2</v>
      </c>
      <c r="E31" s="14"/>
      <c r="F31" s="11"/>
      <c r="G31" s="11"/>
      <c r="H31" s="63">
        <f>H32+H34+H36+H38</f>
        <v>1883679300</v>
      </c>
      <c r="I31" s="11"/>
      <c r="J31" s="11"/>
      <c r="K31" s="25">
        <f>K32+K34+K36+K38</f>
        <v>1883679300</v>
      </c>
      <c r="L31" s="14"/>
      <c r="M31" s="28"/>
      <c r="N31" s="28"/>
      <c r="O31" s="28"/>
      <c r="P31" s="14"/>
    </row>
    <row r="32" spans="1:16" s="16" customFormat="1" ht="15" customHeight="1" x14ac:dyDescent="0.25">
      <c r="A32" s="11"/>
      <c r="B32" s="11"/>
      <c r="C32" s="11"/>
      <c r="D32" s="12" t="s">
        <v>9</v>
      </c>
      <c r="E32" s="19"/>
      <c r="F32" s="32"/>
      <c r="G32" s="24"/>
      <c r="H32" s="59">
        <f>H33</f>
        <v>960450000</v>
      </c>
      <c r="I32" s="32"/>
      <c r="J32" s="24"/>
      <c r="K32" s="52">
        <f>K33</f>
        <v>960450000</v>
      </c>
      <c r="L32" s="19"/>
      <c r="M32" s="27"/>
      <c r="N32" s="27"/>
      <c r="O32" s="27"/>
      <c r="P32" s="27"/>
    </row>
    <row r="33" spans="1:16" s="16" customFormat="1" ht="12.75" x14ac:dyDescent="0.25">
      <c r="A33" s="11"/>
      <c r="B33" s="11"/>
      <c r="C33" s="11"/>
      <c r="D33" s="21" t="s">
        <v>9</v>
      </c>
      <c r="E33" s="14"/>
      <c r="F33" s="33">
        <v>1</v>
      </c>
      <c r="G33" s="11" t="s">
        <v>81</v>
      </c>
      <c r="H33" s="61">
        <v>960450000</v>
      </c>
      <c r="I33" s="33">
        <v>1</v>
      </c>
      <c r="J33" s="11" t="s">
        <v>81</v>
      </c>
      <c r="K33" s="22">
        <f>388502800+144067500+240112500+187767200</f>
        <v>960450000</v>
      </c>
      <c r="L33" s="23">
        <f>K33/H33</f>
        <v>1</v>
      </c>
      <c r="M33" s="14"/>
      <c r="N33" s="14"/>
      <c r="O33" s="14"/>
      <c r="P33" s="14"/>
    </row>
    <row r="34" spans="1:16" s="16" customFormat="1" ht="12.75" x14ac:dyDescent="0.25">
      <c r="A34" s="11"/>
      <c r="B34" s="11"/>
      <c r="C34" s="11"/>
      <c r="D34" s="12" t="s">
        <v>44</v>
      </c>
      <c r="E34" s="19"/>
      <c r="F34" s="32"/>
      <c r="G34" s="24"/>
      <c r="H34" s="59">
        <f>H35</f>
        <v>51037300</v>
      </c>
      <c r="I34" s="32"/>
      <c r="J34" s="24"/>
      <c r="K34" s="52">
        <f>K35</f>
        <v>51037300</v>
      </c>
      <c r="L34" s="19"/>
      <c r="M34" s="14"/>
      <c r="N34" s="14"/>
      <c r="O34" s="14"/>
      <c r="P34" s="14"/>
    </row>
    <row r="35" spans="1:16" s="16" customFormat="1" ht="12.75" x14ac:dyDescent="0.25">
      <c r="A35" s="11"/>
      <c r="B35" s="11"/>
      <c r="C35" s="11"/>
      <c r="D35" s="21" t="s">
        <v>89</v>
      </c>
      <c r="E35" s="14"/>
      <c r="F35" s="33">
        <v>1</v>
      </c>
      <c r="G35" s="11" t="s">
        <v>81</v>
      </c>
      <c r="H35" s="61">
        <v>51037300</v>
      </c>
      <c r="I35" s="33">
        <v>1</v>
      </c>
      <c r="J35" s="11" t="s">
        <v>81</v>
      </c>
      <c r="K35" s="22">
        <f>18087750+4325100+28624450</f>
        <v>51037300</v>
      </c>
      <c r="L35" s="23">
        <f>K35/H35</f>
        <v>1</v>
      </c>
      <c r="M35" s="14"/>
      <c r="N35" s="14"/>
      <c r="O35" s="15">
        <f>K35</f>
        <v>51037300</v>
      </c>
      <c r="P35" s="14"/>
    </row>
    <row r="36" spans="1:16" s="16" customFormat="1" ht="12.75" x14ac:dyDescent="0.25">
      <c r="A36" s="11"/>
      <c r="B36" s="11"/>
      <c r="C36" s="11"/>
      <c r="D36" s="12" t="s">
        <v>10</v>
      </c>
      <c r="E36" s="19"/>
      <c r="F36" s="32"/>
      <c r="G36" s="24"/>
      <c r="H36" s="59">
        <f>H37</f>
        <v>797192000</v>
      </c>
      <c r="I36" s="32"/>
      <c r="J36" s="24"/>
      <c r="K36" s="52">
        <f>K37</f>
        <v>797192000</v>
      </c>
      <c r="L36" s="19"/>
      <c r="M36" s="14"/>
      <c r="N36" s="14"/>
      <c r="O36" s="14"/>
      <c r="P36" s="14"/>
    </row>
    <row r="37" spans="1:16" s="16" customFormat="1" ht="12.75" x14ac:dyDescent="0.25">
      <c r="A37" s="11"/>
      <c r="B37" s="11"/>
      <c r="C37" s="11"/>
      <c r="D37" s="21" t="s">
        <v>10</v>
      </c>
      <c r="E37" s="14"/>
      <c r="F37" s="33">
        <v>1</v>
      </c>
      <c r="G37" s="11" t="s">
        <v>81</v>
      </c>
      <c r="H37" s="61">
        <v>797192000</v>
      </c>
      <c r="I37" s="33">
        <v>1</v>
      </c>
      <c r="J37" s="11" t="s">
        <v>81</v>
      </c>
      <c r="K37" s="26">
        <f>71327000*5+62937000+62937000+62470250+62470250+62470250+64337250+62935000</f>
        <v>797192000</v>
      </c>
      <c r="L37" s="23">
        <f>K37/H37</f>
        <v>1</v>
      </c>
      <c r="M37" s="14"/>
      <c r="N37" s="26">
        <f>K37</f>
        <v>797192000</v>
      </c>
      <c r="O37" s="14"/>
      <c r="P37" s="14"/>
    </row>
    <row r="38" spans="1:16" s="16" customFormat="1" ht="12.75" x14ac:dyDescent="0.25">
      <c r="A38" s="11"/>
      <c r="B38" s="11"/>
      <c r="C38" s="11"/>
      <c r="D38" s="12" t="s">
        <v>45</v>
      </c>
      <c r="E38" s="19"/>
      <c r="F38" s="32"/>
      <c r="G38" s="24"/>
      <c r="H38" s="68">
        <f>SUM(H39:H40)</f>
        <v>75000000</v>
      </c>
      <c r="I38" s="32"/>
      <c r="J38" s="24"/>
      <c r="K38" s="54">
        <f>SUM(K39:K40)</f>
        <v>75000000</v>
      </c>
      <c r="L38" s="23"/>
      <c r="M38" s="14"/>
      <c r="N38" s="26"/>
      <c r="O38" s="14"/>
      <c r="P38" s="14"/>
    </row>
    <row r="39" spans="1:16" s="16" customFormat="1" ht="12.75" x14ac:dyDescent="0.25">
      <c r="A39" s="11"/>
      <c r="B39" s="11"/>
      <c r="C39" s="11"/>
      <c r="D39" s="21" t="s">
        <v>90</v>
      </c>
      <c r="E39" s="14"/>
      <c r="F39" s="33">
        <v>1</v>
      </c>
      <c r="G39" s="11" t="s">
        <v>81</v>
      </c>
      <c r="H39" s="62">
        <v>50000000</v>
      </c>
      <c r="I39" s="33">
        <v>1</v>
      </c>
      <c r="J39" s="11" t="s">
        <v>81</v>
      </c>
      <c r="K39" s="30">
        <v>50000000</v>
      </c>
      <c r="L39" s="23">
        <f t="shared" ref="L39:L40" si="0">K39/H39</f>
        <v>1</v>
      </c>
      <c r="M39" s="14"/>
      <c r="N39" s="26"/>
      <c r="O39" s="30">
        <v>50000000</v>
      </c>
      <c r="P39" s="14"/>
    </row>
    <row r="40" spans="1:16" s="16" customFormat="1" ht="12.75" x14ac:dyDescent="0.25">
      <c r="A40" s="11"/>
      <c r="B40" s="11"/>
      <c r="C40" s="11"/>
      <c r="D40" s="21" t="s">
        <v>91</v>
      </c>
      <c r="E40" s="14"/>
      <c r="F40" s="33">
        <v>1</v>
      </c>
      <c r="G40" s="11" t="s">
        <v>81</v>
      </c>
      <c r="H40" s="62">
        <v>25000000</v>
      </c>
      <c r="I40" s="33">
        <v>1</v>
      </c>
      <c r="J40" s="11" t="s">
        <v>81</v>
      </c>
      <c r="K40" s="30">
        <v>25000000</v>
      </c>
      <c r="L40" s="23">
        <f t="shared" si="0"/>
        <v>1</v>
      </c>
      <c r="M40" s="14"/>
      <c r="N40" s="26"/>
      <c r="O40" s="30">
        <v>25000000</v>
      </c>
      <c r="P40" s="14"/>
    </row>
    <row r="41" spans="1:16" s="16" customFormat="1" ht="12.75" x14ac:dyDescent="0.25">
      <c r="A41" s="11"/>
      <c r="B41" s="11"/>
      <c r="C41" s="11"/>
      <c r="D41" s="12" t="s">
        <v>11</v>
      </c>
      <c r="E41" s="14"/>
      <c r="F41" s="11"/>
      <c r="G41" s="11"/>
      <c r="H41" s="59">
        <v>2500000</v>
      </c>
      <c r="I41" s="11"/>
      <c r="J41" s="11"/>
      <c r="K41" s="52">
        <f>K42</f>
        <v>1128856</v>
      </c>
      <c r="L41" s="14"/>
      <c r="M41" s="14"/>
      <c r="N41" s="14"/>
      <c r="O41" s="14"/>
      <c r="P41" s="14"/>
    </row>
    <row r="42" spans="1:16" s="16" customFormat="1" ht="12.75" x14ac:dyDescent="0.25">
      <c r="A42" s="11"/>
      <c r="B42" s="11"/>
      <c r="C42" s="11"/>
      <c r="D42" s="21" t="s">
        <v>92</v>
      </c>
      <c r="E42" s="14"/>
      <c r="F42" s="11">
        <v>1</v>
      </c>
      <c r="G42" s="11" t="s">
        <v>81</v>
      </c>
      <c r="H42" s="61">
        <v>2500000</v>
      </c>
      <c r="I42" s="11">
        <v>1</v>
      </c>
      <c r="J42" s="11" t="s">
        <v>81</v>
      </c>
      <c r="K42" s="22">
        <f>90230+107960+183308+250173+63326+87003+67835+51289+105652+50663+41101+30316</f>
        <v>1128856</v>
      </c>
      <c r="L42" s="23">
        <f>K42/H42</f>
        <v>0.45154240000000001</v>
      </c>
      <c r="M42" s="14"/>
      <c r="N42" s="14"/>
      <c r="O42" s="22">
        <f>K42</f>
        <v>1128856</v>
      </c>
      <c r="P42" s="14"/>
    </row>
    <row r="43" spans="1:16" s="16" customFormat="1" ht="12.75" x14ac:dyDescent="0.25">
      <c r="A43" s="11"/>
      <c r="B43" s="11"/>
      <c r="C43" s="11"/>
      <c r="D43" s="79" t="s">
        <v>3</v>
      </c>
      <c r="E43" s="80"/>
      <c r="F43" s="81"/>
      <c r="G43" s="81"/>
      <c r="H43" s="72">
        <f>H19</f>
        <v>1987490563</v>
      </c>
      <c r="I43" s="81"/>
      <c r="J43" s="81"/>
      <c r="K43" s="76">
        <f>K41+K31+K20</f>
        <v>1939950819</v>
      </c>
      <c r="L43" s="14"/>
      <c r="M43" s="14"/>
      <c r="N43" s="14"/>
      <c r="O43" s="14"/>
      <c r="P43" s="14"/>
    </row>
    <row r="44" spans="1:16" s="16" customFormat="1" ht="12.75" x14ac:dyDescent="0.25">
      <c r="A44" s="11"/>
      <c r="B44" s="11"/>
      <c r="C44" s="11"/>
      <c r="D44" s="35"/>
      <c r="E44" s="14"/>
      <c r="F44" s="11"/>
      <c r="G44" s="11"/>
      <c r="H44" s="60"/>
      <c r="I44" s="11"/>
      <c r="J44" s="11"/>
      <c r="K44" s="25"/>
      <c r="L44" s="14"/>
      <c r="M44" s="14"/>
      <c r="N44" s="14"/>
      <c r="O44" s="14"/>
      <c r="P44" s="14"/>
    </row>
    <row r="45" spans="1:16" s="16" customFormat="1" ht="12.75" x14ac:dyDescent="0.2">
      <c r="A45" s="11"/>
      <c r="B45" s="11"/>
      <c r="C45" s="11"/>
      <c r="D45" s="12" t="s">
        <v>4</v>
      </c>
      <c r="E45" s="13"/>
      <c r="F45" s="11"/>
      <c r="G45" s="11"/>
      <c r="H45" s="65"/>
      <c r="I45" s="11"/>
      <c r="J45" s="11"/>
      <c r="K45" s="22"/>
      <c r="L45" s="14"/>
      <c r="M45" s="14"/>
      <c r="N45" s="14"/>
      <c r="O45" s="14"/>
      <c r="P45" s="14"/>
    </row>
    <row r="46" spans="1:16" s="16" customFormat="1" ht="12.75" x14ac:dyDescent="0.2">
      <c r="A46" s="11"/>
      <c r="B46" s="11"/>
      <c r="C46" s="11"/>
      <c r="D46" s="87" t="s">
        <v>93</v>
      </c>
      <c r="E46" s="88"/>
      <c r="F46" s="83"/>
      <c r="G46" s="83"/>
      <c r="H46" s="59">
        <v>966881746</v>
      </c>
      <c r="I46" s="83"/>
      <c r="J46" s="83"/>
      <c r="K46" s="52">
        <f>K47+K55+K60+K64+K75</f>
        <v>901404790</v>
      </c>
      <c r="L46" s="14"/>
      <c r="M46" s="14"/>
      <c r="N46" s="14"/>
      <c r="O46" s="14"/>
      <c r="P46" s="14"/>
    </row>
    <row r="47" spans="1:16" s="16" customFormat="1" ht="12.75" x14ac:dyDescent="0.2">
      <c r="A47" s="11"/>
      <c r="B47" s="11"/>
      <c r="C47" s="11"/>
      <c r="D47" s="12" t="s">
        <v>94</v>
      </c>
      <c r="E47" s="13"/>
      <c r="F47" s="11"/>
      <c r="G47" s="11"/>
      <c r="H47" s="60">
        <f>SUM(H48:H54)</f>
        <v>829090119</v>
      </c>
      <c r="I47" s="11"/>
      <c r="J47" s="11"/>
      <c r="K47" s="25">
        <f>SUM(K48:K54)</f>
        <v>822371530</v>
      </c>
      <c r="L47" s="14"/>
      <c r="M47" s="14"/>
      <c r="N47" s="14"/>
      <c r="O47" s="14"/>
      <c r="P47" s="14"/>
    </row>
    <row r="48" spans="1:16" s="16" customFormat="1" ht="21.75" customHeight="1" x14ac:dyDescent="0.25">
      <c r="A48" s="11"/>
      <c r="B48" s="11"/>
      <c r="C48" s="11"/>
      <c r="D48" s="36" t="s">
        <v>46</v>
      </c>
      <c r="E48" s="27" t="s">
        <v>95</v>
      </c>
      <c r="F48" s="11">
        <v>12</v>
      </c>
      <c r="G48" s="11" t="s">
        <v>63</v>
      </c>
      <c r="H48" s="66">
        <v>39000000</v>
      </c>
      <c r="I48" s="11">
        <v>1</v>
      </c>
      <c r="J48" s="11" t="s">
        <v>64</v>
      </c>
      <c r="K48" s="22">
        <f>3000000*6+3000000+3000000+3000000+3000000+3000000+3000000*2</f>
        <v>39000000</v>
      </c>
      <c r="L48" s="23">
        <f t="shared" ref="L48:L56" si="1">K48/H48</f>
        <v>1</v>
      </c>
      <c r="M48" s="14"/>
      <c r="N48" s="22">
        <f>K48</f>
        <v>39000000</v>
      </c>
      <c r="O48" s="14"/>
      <c r="P48" s="14"/>
    </row>
    <row r="49" spans="1:16" s="16" customFormat="1" ht="21" customHeight="1" x14ac:dyDescent="0.25">
      <c r="A49" s="11"/>
      <c r="B49" s="11"/>
      <c r="C49" s="11"/>
      <c r="D49" s="36" t="s">
        <v>47</v>
      </c>
      <c r="E49" s="27" t="s">
        <v>199</v>
      </c>
      <c r="F49" s="11">
        <v>12</v>
      </c>
      <c r="G49" s="11" t="s">
        <v>63</v>
      </c>
      <c r="H49" s="66">
        <v>640337500</v>
      </c>
      <c r="I49" s="11">
        <v>1</v>
      </c>
      <c r="J49" s="11" t="s">
        <v>64</v>
      </c>
      <c r="K49" s="22">
        <f>50812500*3+48790000*2+97580000+48790000+48790000+48790000+48790000+48790000+48790000</f>
        <v>640337500</v>
      </c>
      <c r="L49" s="23">
        <f t="shared" si="1"/>
        <v>1</v>
      </c>
      <c r="M49" s="14"/>
      <c r="N49" s="22">
        <f>K49</f>
        <v>640337500</v>
      </c>
      <c r="O49" s="14"/>
      <c r="P49" s="14"/>
    </row>
    <row r="50" spans="1:16" s="16" customFormat="1" ht="25.5" x14ac:dyDescent="0.25">
      <c r="A50" s="11"/>
      <c r="B50" s="11"/>
      <c r="C50" s="11"/>
      <c r="D50" s="36" t="s">
        <v>48</v>
      </c>
      <c r="E50" s="27" t="s">
        <v>96</v>
      </c>
      <c r="F50" s="11">
        <v>12</v>
      </c>
      <c r="G50" s="11" t="s">
        <v>64</v>
      </c>
      <c r="H50" s="66">
        <v>49734052</v>
      </c>
      <c r="I50" s="11">
        <v>1</v>
      </c>
      <c r="J50" s="11" t="s">
        <v>64</v>
      </c>
      <c r="K50" s="22">
        <f>5135996*4+5135996+3436296+3436296+3436296+3436296+3436296+2328819+3159404-40425</f>
        <v>48309258</v>
      </c>
      <c r="L50" s="23">
        <f t="shared" si="1"/>
        <v>0.97135174105661048</v>
      </c>
      <c r="M50" s="14"/>
      <c r="N50" s="22">
        <f>K50</f>
        <v>48309258</v>
      </c>
      <c r="O50" s="14"/>
      <c r="P50" s="14"/>
    </row>
    <row r="51" spans="1:16" s="16" customFormat="1" ht="31.5" customHeight="1" x14ac:dyDescent="0.25">
      <c r="A51" s="11"/>
      <c r="B51" s="11"/>
      <c r="C51" s="11"/>
      <c r="D51" s="36" t="s">
        <v>97</v>
      </c>
      <c r="E51" s="14" t="s">
        <v>98</v>
      </c>
      <c r="F51" s="11">
        <v>12</v>
      </c>
      <c r="G51" s="11" t="s">
        <v>64</v>
      </c>
      <c r="H51" s="66">
        <v>41945567</v>
      </c>
      <c r="I51" s="11">
        <v>1</v>
      </c>
      <c r="J51" s="11" t="s">
        <v>64</v>
      </c>
      <c r="K51" s="22">
        <f>18046+4287712+2378432+2309795+1875265+12972351+1085977+1301788+2002000+925633+7005040+27630+1365403</f>
        <v>37555072</v>
      </c>
      <c r="L51" s="23">
        <f t="shared" si="1"/>
        <v>0.89532874832756459</v>
      </c>
      <c r="M51" s="14"/>
      <c r="N51" s="22">
        <f>18046+700000+130000+1404000+130120+150000+1471270+1289260+143100+363000+372000-560750+2730000+148700+820660+713280+621000</f>
        <v>10643686</v>
      </c>
      <c r="O51" s="22">
        <f>160000+40000+1552000+21592+907162+1020535+19165+1250000+80000+120000+592500-2184000+11730000+23901+285317+588508+1381000</f>
        <v>17587680</v>
      </c>
      <c r="P51" s="14"/>
    </row>
    <row r="52" spans="1:16" s="16" customFormat="1" ht="12.75" x14ac:dyDescent="0.25">
      <c r="A52" s="11"/>
      <c r="B52" s="11"/>
      <c r="C52" s="11"/>
      <c r="D52" s="37" t="s">
        <v>49</v>
      </c>
      <c r="E52" s="14" t="s">
        <v>19</v>
      </c>
      <c r="F52" s="11">
        <v>12</v>
      </c>
      <c r="G52" s="11" t="s">
        <v>64</v>
      </c>
      <c r="H52" s="66">
        <v>39000000</v>
      </c>
      <c r="I52" s="11">
        <v>2</v>
      </c>
      <c r="J52" s="11" t="s">
        <v>64</v>
      </c>
      <c r="K52" s="22">
        <f>6500000+6500000+3250000+6500000+6500000+6500000+3250000</f>
        <v>39000000</v>
      </c>
      <c r="L52" s="23">
        <f t="shared" si="1"/>
        <v>1</v>
      </c>
      <c r="M52" s="14"/>
      <c r="N52" s="22">
        <f>K52</f>
        <v>39000000</v>
      </c>
      <c r="O52" s="14"/>
      <c r="P52" s="14"/>
    </row>
    <row r="53" spans="1:16" s="16" customFormat="1" ht="42" customHeight="1" x14ac:dyDescent="0.25">
      <c r="A53" s="11"/>
      <c r="B53" s="11"/>
      <c r="C53" s="11"/>
      <c r="D53" s="29" t="s">
        <v>99</v>
      </c>
      <c r="E53" s="14" t="s">
        <v>100</v>
      </c>
      <c r="F53" s="11">
        <v>12</v>
      </c>
      <c r="G53" s="11" t="s">
        <v>64</v>
      </c>
      <c r="H53" s="66">
        <v>3073000</v>
      </c>
      <c r="I53" s="11">
        <v>2</v>
      </c>
      <c r="J53" s="11" t="s">
        <v>64</v>
      </c>
      <c r="K53" s="22">
        <f>343000+293000+218700+293000+243000+293000+486000</f>
        <v>2169700</v>
      </c>
      <c r="L53" s="23">
        <f t="shared" si="1"/>
        <v>0.7060527172144484</v>
      </c>
      <c r="M53" s="14"/>
      <c r="N53" s="22">
        <f>K53</f>
        <v>2169700</v>
      </c>
      <c r="O53" s="14"/>
      <c r="P53" s="14"/>
    </row>
    <row r="54" spans="1:16" s="16" customFormat="1" ht="12.75" x14ac:dyDescent="0.25">
      <c r="A54" s="11"/>
      <c r="B54" s="11"/>
      <c r="C54" s="11"/>
      <c r="D54" s="37" t="s">
        <v>101</v>
      </c>
      <c r="E54" s="14" t="s">
        <v>102</v>
      </c>
      <c r="F54" s="11">
        <v>1</v>
      </c>
      <c r="G54" s="11" t="s">
        <v>63</v>
      </c>
      <c r="H54" s="66">
        <v>16000000</v>
      </c>
      <c r="I54" s="11">
        <v>1</v>
      </c>
      <c r="J54" s="11" t="s">
        <v>63</v>
      </c>
      <c r="K54" s="22">
        <v>16000000</v>
      </c>
      <c r="L54" s="23">
        <f t="shared" si="1"/>
        <v>1</v>
      </c>
      <c r="M54" s="14"/>
      <c r="N54" s="15">
        <f>K54</f>
        <v>16000000</v>
      </c>
      <c r="O54" s="14"/>
      <c r="P54" s="14"/>
    </row>
    <row r="55" spans="1:16" s="16" customFormat="1" ht="12.75" x14ac:dyDescent="0.2">
      <c r="A55" s="11"/>
      <c r="B55" s="11"/>
      <c r="C55" s="11"/>
      <c r="D55" s="12" t="s">
        <v>103</v>
      </c>
      <c r="E55" s="13"/>
      <c r="F55" s="11"/>
      <c r="G55" s="11"/>
      <c r="H55" s="60">
        <f>SUM(H57:H59)</f>
        <v>14832000</v>
      </c>
      <c r="I55" s="11"/>
      <c r="J55" s="11"/>
      <c r="K55" s="18">
        <f>SUM(K56:K59)</f>
        <v>16940733</v>
      </c>
      <c r="L55" s="14"/>
      <c r="M55" s="14"/>
      <c r="N55" s="14"/>
      <c r="O55" s="14"/>
      <c r="P55" s="14"/>
    </row>
    <row r="56" spans="1:16" s="16" customFormat="1" ht="12.75" x14ac:dyDescent="0.2">
      <c r="A56" s="11"/>
      <c r="B56" s="11"/>
      <c r="C56" s="11"/>
      <c r="D56" s="21" t="s">
        <v>104</v>
      </c>
      <c r="E56" s="13" t="s">
        <v>105</v>
      </c>
      <c r="F56" s="11">
        <v>1</v>
      </c>
      <c r="G56" s="11" t="s">
        <v>65</v>
      </c>
      <c r="H56" s="61">
        <v>5947100</v>
      </c>
      <c r="I56" s="11">
        <v>1</v>
      </c>
      <c r="J56" s="11" t="s">
        <v>65</v>
      </c>
      <c r="K56" s="22">
        <v>3150000</v>
      </c>
      <c r="L56" s="23">
        <f t="shared" si="1"/>
        <v>0.52966992315582384</v>
      </c>
      <c r="M56" s="14"/>
      <c r="N56" s="14"/>
      <c r="O56" s="15">
        <f>K56</f>
        <v>3150000</v>
      </c>
      <c r="P56" s="14"/>
    </row>
    <row r="57" spans="1:16" s="16" customFormat="1" ht="38.25" x14ac:dyDescent="0.25">
      <c r="A57" s="11"/>
      <c r="B57" s="11"/>
      <c r="C57" s="11"/>
      <c r="D57" s="37" t="s">
        <v>106</v>
      </c>
      <c r="E57" s="27" t="s">
        <v>107</v>
      </c>
      <c r="F57" s="11">
        <v>1</v>
      </c>
      <c r="G57" s="11" t="s">
        <v>67</v>
      </c>
      <c r="H57" s="66">
        <v>12200000</v>
      </c>
      <c r="I57" s="11">
        <v>1</v>
      </c>
      <c r="J57" s="11" t="s">
        <v>67</v>
      </c>
      <c r="K57" s="22">
        <v>12200000</v>
      </c>
      <c r="L57" s="23">
        <f>K57/H57</f>
        <v>1</v>
      </c>
      <c r="M57" s="14"/>
      <c r="N57" s="14"/>
      <c r="O57" s="22">
        <f>K57</f>
        <v>12200000</v>
      </c>
      <c r="P57" s="14"/>
    </row>
    <row r="58" spans="1:16" s="16" customFormat="1" ht="25.5" x14ac:dyDescent="0.25">
      <c r="A58" s="11"/>
      <c r="B58" s="11"/>
      <c r="C58" s="11"/>
      <c r="D58" s="36" t="s">
        <v>108</v>
      </c>
      <c r="E58" s="27" t="s">
        <v>109</v>
      </c>
      <c r="F58" s="11">
        <v>2</v>
      </c>
      <c r="G58" s="11" t="s">
        <v>110</v>
      </c>
      <c r="H58" s="66">
        <v>1132000</v>
      </c>
      <c r="I58" s="11">
        <v>2</v>
      </c>
      <c r="J58" s="11" t="s">
        <v>110</v>
      </c>
      <c r="K58" s="22">
        <f>243733+209000+638000</f>
        <v>1090733</v>
      </c>
      <c r="L58" s="23">
        <f>K58/H58</f>
        <v>0.96354505300353355</v>
      </c>
      <c r="M58" s="14"/>
      <c r="N58" s="22">
        <f>K58</f>
        <v>1090733</v>
      </c>
      <c r="O58" s="14"/>
      <c r="P58" s="14"/>
    </row>
    <row r="59" spans="1:16" s="16" customFormat="1" ht="25.5" x14ac:dyDescent="0.25">
      <c r="A59" s="11"/>
      <c r="B59" s="11"/>
      <c r="C59" s="11"/>
      <c r="D59" s="37" t="s">
        <v>111</v>
      </c>
      <c r="E59" s="27" t="s">
        <v>112</v>
      </c>
      <c r="F59" s="11">
        <v>12</v>
      </c>
      <c r="G59" s="11" t="s">
        <v>64</v>
      </c>
      <c r="H59" s="66">
        <v>1500000</v>
      </c>
      <c r="I59" s="11">
        <v>1</v>
      </c>
      <c r="J59" s="11" t="s">
        <v>64</v>
      </c>
      <c r="K59" s="22">
        <v>500000</v>
      </c>
      <c r="L59" s="23">
        <f>K59/H59</f>
        <v>0.33333333333333331</v>
      </c>
      <c r="M59" s="14"/>
      <c r="N59" s="14"/>
      <c r="O59" s="22">
        <v>500000</v>
      </c>
      <c r="P59" s="14"/>
    </row>
    <row r="60" spans="1:16" s="16" customFormat="1" ht="12.75" x14ac:dyDescent="0.2">
      <c r="A60" s="11"/>
      <c r="B60" s="11"/>
      <c r="C60" s="11"/>
      <c r="D60" s="12" t="s">
        <v>113</v>
      </c>
      <c r="E60" s="13"/>
      <c r="F60" s="11"/>
      <c r="G60" s="11"/>
      <c r="H60" s="64">
        <f>SUM(H61:H63)</f>
        <v>7460000</v>
      </c>
      <c r="I60" s="11"/>
      <c r="J60" s="11"/>
      <c r="K60" s="18">
        <f>SUM(K61:K63)</f>
        <v>6415000</v>
      </c>
      <c r="L60" s="14"/>
      <c r="M60" s="14"/>
      <c r="N60" s="14"/>
      <c r="O60" s="14"/>
      <c r="P60" s="14"/>
    </row>
    <row r="61" spans="1:16" s="16" customFormat="1" ht="25.5" x14ac:dyDescent="0.25">
      <c r="A61" s="11"/>
      <c r="B61" s="11"/>
      <c r="C61" s="11"/>
      <c r="D61" s="36" t="s">
        <v>114</v>
      </c>
      <c r="E61" s="14" t="s">
        <v>115</v>
      </c>
      <c r="F61" s="11">
        <v>3</v>
      </c>
      <c r="G61" s="11" t="s">
        <v>63</v>
      </c>
      <c r="H61" s="66">
        <v>5360000</v>
      </c>
      <c r="I61" s="11">
        <v>1</v>
      </c>
      <c r="J61" s="11" t="s">
        <v>63</v>
      </c>
      <c r="K61" s="22">
        <f>4500000+200000</f>
        <v>4700000</v>
      </c>
      <c r="L61" s="23">
        <f>K61/H61</f>
        <v>0.87686567164179108</v>
      </c>
      <c r="M61" s="22">
        <f>4500000+200000</f>
        <v>4700000</v>
      </c>
      <c r="N61" s="14"/>
      <c r="O61" s="14"/>
      <c r="P61" s="14"/>
    </row>
    <row r="62" spans="1:16" s="16" customFormat="1" ht="25.5" x14ac:dyDescent="0.25">
      <c r="A62" s="11"/>
      <c r="B62" s="11"/>
      <c r="C62" s="11"/>
      <c r="D62" s="36" t="s">
        <v>116</v>
      </c>
      <c r="E62" s="14" t="s">
        <v>117</v>
      </c>
      <c r="F62" s="11">
        <v>1</v>
      </c>
      <c r="G62" s="11" t="s">
        <v>66</v>
      </c>
      <c r="H62" s="66">
        <v>2050000</v>
      </c>
      <c r="I62" s="11">
        <v>1</v>
      </c>
      <c r="J62" s="11" t="s">
        <v>66</v>
      </c>
      <c r="K62" s="22">
        <v>1665000</v>
      </c>
      <c r="L62" s="23">
        <f>K62/H62</f>
        <v>0.81219512195121957</v>
      </c>
      <c r="M62" s="22">
        <v>1665000</v>
      </c>
      <c r="N62" s="14"/>
      <c r="O62" s="14"/>
      <c r="P62" s="14"/>
    </row>
    <row r="63" spans="1:16" s="16" customFormat="1" ht="12.75" x14ac:dyDescent="0.25">
      <c r="A63" s="11"/>
      <c r="B63" s="11"/>
      <c r="C63" s="11"/>
      <c r="D63" s="37" t="s">
        <v>50</v>
      </c>
      <c r="E63" s="14" t="s">
        <v>118</v>
      </c>
      <c r="F63" s="11">
        <v>2</v>
      </c>
      <c r="G63" s="11" t="s">
        <v>119</v>
      </c>
      <c r="H63" s="67">
        <v>50000</v>
      </c>
      <c r="I63" s="11">
        <v>2</v>
      </c>
      <c r="J63" s="11" t="s">
        <v>119</v>
      </c>
      <c r="K63" s="22">
        <v>50000</v>
      </c>
      <c r="L63" s="23">
        <f>K63/H63</f>
        <v>1</v>
      </c>
      <c r="M63" s="14"/>
      <c r="N63" s="14"/>
      <c r="O63" s="15">
        <f>K63</f>
        <v>50000</v>
      </c>
      <c r="P63" s="14"/>
    </row>
    <row r="64" spans="1:16" s="16" customFormat="1" ht="12.75" x14ac:dyDescent="0.2">
      <c r="A64" s="11"/>
      <c r="B64" s="11"/>
      <c r="C64" s="11"/>
      <c r="D64" s="12" t="s">
        <v>120</v>
      </c>
      <c r="E64" s="13"/>
      <c r="F64" s="11"/>
      <c r="G64" s="11"/>
      <c r="H64" s="60">
        <f>SUM(H65:H74)</f>
        <v>60737527</v>
      </c>
      <c r="I64" s="11"/>
      <c r="J64" s="11"/>
      <c r="K64" s="18">
        <f>SUM(K65:K74)</f>
        <v>54837527</v>
      </c>
      <c r="L64" s="14"/>
      <c r="M64" s="14"/>
      <c r="N64" s="14"/>
      <c r="O64" s="14"/>
      <c r="P64" s="14"/>
    </row>
    <row r="65" spans="1:16" s="16" customFormat="1" ht="40.5" customHeight="1" x14ac:dyDescent="0.25">
      <c r="A65" s="11"/>
      <c r="B65" s="11"/>
      <c r="C65" s="11"/>
      <c r="D65" s="29" t="s">
        <v>121</v>
      </c>
      <c r="E65" s="27" t="s">
        <v>122</v>
      </c>
      <c r="F65" s="11">
        <v>5</v>
      </c>
      <c r="G65" s="11" t="s">
        <v>66</v>
      </c>
      <c r="H65" s="66">
        <v>10600000</v>
      </c>
      <c r="I65" s="11">
        <v>1</v>
      </c>
      <c r="J65" s="11" t="s">
        <v>66</v>
      </c>
      <c r="K65" s="22">
        <f>2120000+1530000+1900000</f>
        <v>5550000</v>
      </c>
      <c r="L65" s="23">
        <f t="shared" ref="L65:L74" si="2">K65/H65</f>
        <v>0.52358490566037741</v>
      </c>
      <c r="M65" s="15">
        <f>K65</f>
        <v>5550000</v>
      </c>
      <c r="N65" s="14"/>
      <c r="O65" s="22"/>
      <c r="P65" s="14"/>
    </row>
    <row r="66" spans="1:16" s="16" customFormat="1" ht="31.5" customHeight="1" x14ac:dyDescent="0.25">
      <c r="A66" s="11"/>
      <c r="B66" s="11"/>
      <c r="C66" s="11"/>
      <c r="D66" s="36" t="s">
        <v>123</v>
      </c>
      <c r="E66" s="27" t="s">
        <v>124</v>
      </c>
      <c r="F66" s="11">
        <v>3</v>
      </c>
      <c r="G66" s="11" t="s">
        <v>119</v>
      </c>
      <c r="H66" s="66">
        <v>1040000</v>
      </c>
      <c r="I66" s="11">
        <v>1</v>
      </c>
      <c r="J66" s="11" t="s">
        <v>66</v>
      </c>
      <c r="K66" s="22">
        <f>200000+840000</f>
        <v>1040000</v>
      </c>
      <c r="L66" s="23">
        <f t="shared" si="2"/>
        <v>1</v>
      </c>
      <c r="M66" s="14"/>
      <c r="N66" s="14"/>
      <c r="O66" s="22">
        <f>K66</f>
        <v>1040000</v>
      </c>
      <c r="P66" s="14"/>
    </row>
    <row r="67" spans="1:16" s="16" customFormat="1" ht="40.5" customHeight="1" x14ac:dyDescent="0.25">
      <c r="A67" s="11"/>
      <c r="B67" s="11"/>
      <c r="C67" s="11"/>
      <c r="D67" s="29" t="s">
        <v>125</v>
      </c>
      <c r="E67" s="27" t="s">
        <v>126</v>
      </c>
      <c r="F67" s="11">
        <v>3</v>
      </c>
      <c r="G67" s="11" t="s">
        <v>119</v>
      </c>
      <c r="H67" s="66">
        <v>3020000</v>
      </c>
      <c r="I67" s="11">
        <v>3</v>
      </c>
      <c r="J67" s="11" t="s">
        <v>66</v>
      </c>
      <c r="K67" s="22">
        <f>940000+1040000+1040000</f>
        <v>3020000</v>
      </c>
      <c r="L67" s="23">
        <f t="shared" si="2"/>
        <v>1</v>
      </c>
      <c r="M67" s="14"/>
      <c r="N67" s="14"/>
      <c r="O67" s="22">
        <f>K67</f>
        <v>3020000</v>
      </c>
      <c r="P67" s="14"/>
    </row>
    <row r="68" spans="1:16" s="16" customFormat="1" ht="25.5" x14ac:dyDescent="0.25">
      <c r="A68" s="11"/>
      <c r="B68" s="11"/>
      <c r="C68" s="11"/>
      <c r="D68" s="36" t="s">
        <v>127</v>
      </c>
      <c r="E68" s="14" t="s">
        <v>128</v>
      </c>
      <c r="F68" s="11">
        <v>4</v>
      </c>
      <c r="G68" s="11" t="s">
        <v>63</v>
      </c>
      <c r="H68" s="66">
        <v>3600000</v>
      </c>
      <c r="I68" s="11">
        <v>2</v>
      </c>
      <c r="J68" s="11" t="s">
        <v>63</v>
      </c>
      <c r="K68" s="22">
        <f>1800000+1800000</f>
        <v>3600000</v>
      </c>
      <c r="L68" s="23">
        <f t="shared" si="2"/>
        <v>1</v>
      </c>
      <c r="M68" s="14"/>
      <c r="N68" s="14"/>
      <c r="O68" s="22">
        <f>K68</f>
        <v>3600000</v>
      </c>
      <c r="P68" s="14"/>
    </row>
    <row r="69" spans="1:16" s="16" customFormat="1" ht="43.5" customHeight="1" x14ac:dyDescent="0.25">
      <c r="A69" s="11"/>
      <c r="B69" s="11"/>
      <c r="C69" s="11"/>
      <c r="D69" s="29" t="s">
        <v>129</v>
      </c>
      <c r="E69" s="14" t="s">
        <v>130</v>
      </c>
      <c r="F69" s="11">
        <v>4</v>
      </c>
      <c r="G69" s="11" t="s">
        <v>119</v>
      </c>
      <c r="H69" s="67">
        <v>500000</v>
      </c>
      <c r="I69" s="11">
        <v>4</v>
      </c>
      <c r="J69" s="11" t="s">
        <v>119</v>
      </c>
      <c r="K69" s="22">
        <v>500000</v>
      </c>
      <c r="L69" s="23">
        <f t="shared" si="2"/>
        <v>1</v>
      </c>
      <c r="M69" s="14"/>
      <c r="N69" s="14"/>
      <c r="O69" s="22">
        <v>500000</v>
      </c>
      <c r="P69" s="14"/>
    </row>
    <row r="70" spans="1:16" s="16" customFormat="1" ht="12.75" x14ac:dyDescent="0.25">
      <c r="A70" s="11"/>
      <c r="B70" s="11"/>
      <c r="C70" s="11"/>
      <c r="D70" s="37" t="s">
        <v>51</v>
      </c>
      <c r="E70" s="14" t="s">
        <v>131</v>
      </c>
      <c r="F70" s="11">
        <v>8</v>
      </c>
      <c r="G70" s="11" t="s">
        <v>63</v>
      </c>
      <c r="H70" s="66">
        <v>4200000</v>
      </c>
      <c r="I70" s="11">
        <v>8</v>
      </c>
      <c r="J70" s="11" t="s">
        <v>63</v>
      </c>
      <c r="K70" s="22">
        <f>1050000+1050000+2100000</f>
        <v>4200000</v>
      </c>
      <c r="L70" s="23">
        <f t="shared" si="2"/>
        <v>1</v>
      </c>
      <c r="M70" s="22">
        <f>K70</f>
        <v>4200000</v>
      </c>
      <c r="N70" s="14"/>
      <c r="O70" s="14"/>
      <c r="P70" s="14"/>
    </row>
    <row r="71" spans="1:16" s="16" customFormat="1" ht="41.25" customHeight="1" x14ac:dyDescent="0.25">
      <c r="A71" s="11"/>
      <c r="B71" s="11"/>
      <c r="C71" s="11"/>
      <c r="D71" s="29" t="s">
        <v>132</v>
      </c>
      <c r="E71" s="14" t="s">
        <v>133</v>
      </c>
      <c r="F71" s="11">
        <v>1</v>
      </c>
      <c r="G71" s="11" t="s">
        <v>66</v>
      </c>
      <c r="H71" s="66">
        <v>2383900</v>
      </c>
      <c r="I71" s="11">
        <v>1</v>
      </c>
      <c r="J71" s="11" t="s">
        <v>66</v>
      </c>
      <c r="K71" s="38">
        <v>2383900</v>
      </c>
      <c r="L71" s="23">
        <f t="shared" si="2"/>
        <v>1</v>
      </c>
      <c r="M71" s="14"/>
      <c r="N71" s="14"/>
      <c r="O71" s="22">
        <v>2383900</v>
      </c>
      <c r="P71" s="14"/>
    </row>
    <row r="72" spans="1:16" s="16" customFormat="1" ht="25.5" x14ac:dyDescent="0.25">
      <c r="A72" s="11"/>
      <c r="B72" s="11"/>
      <c r="C72" s="11"/>
      <c r="D72" s="36" t="s">
        <v>134</v>
      </c>
      <c r="E72" s="14" t="s">
        <v>135</v>
      </c>
      <c r="F72" s="11">
        <v>12</v>
      </c>
      <c r="G72" s="11" t="s">
        <v>119</v>
      </c>
      <c r="H72" s="66">
        <v>2350000</v>
      </c>
      <c r="I72" s="11">
        <v>12</v>
      </c>
      <c r="J72" s="11" t="s">
        <v>119</v>
      </c>
      <c r="K72" s="22">
        <f>500000+200000+150000+150000+250000+250000</f>
        <v>1500000</v>
      </c>
      <c r="L72" s="23">
        <f t="shared" si="2"/>
        <v>0.63829787234042556</v>
      </c>
      <c r="M72" s="14"/>
      <c r="N72" s="14"/>
      <c r="O72" s="22">
        <f>K72</f>
        <v>1500000</v>
      </c>
      <c r="P72" s="14"/>
    </row>
    <row r="73" spans="1:16" s="16" customFormat="1" ht="25.5" x14ac:dyDescent="0.25">
      <c r="A73" s="11"/>
      <c r="B73" s="11"/>
      <c r="C73" s="11"/>
      <c r="D73" s="36" t="s">
        <v>52</v>
      </c>
      <c r="E73" s="14" t="s">
        <v>136</v>
      </c>
      <c r="F73" s="11">
        <v>1</v>
      </c>
      <c r="G73" s="11" t="s">
        <v>63</v>
      </c>
      <c r="H73" s="66">
        <v>10500000</v>
      </c>
      <c r="I73" s="11">
        <v>1</v>
      </c>
      <c r="J73" s="11" t="s">
        <v>63</v>
      </c>
      <c r="K73" s="22">
        <f>6000000+4500000</f>
        <v>10500000</v>
      </c>
      <c r="L73" s="23">
        <f t="shared" si="2"/>
        <v>1</v>
      </c>
      <c r="M73" s="14"/>
      <c r="N73" s="22">
        <v>6000000</v>
      </c>
      <c r="O73" s="22">
        <v>4500000</v>
      </c>
      <c r="P73" s="14"/>
    </row>
    <row r="74" spans="1:16" s="16" customFormat="1" ht="38.25" x14ac:dyDescent="0.25">
      <c r="A74" s="11"/>
      <c r="B74" s="11"/>
      <c r="C74" s="11"/>
      <c r="D74" s="37" t="s">
        <v>137</v>
      </c>
      <c r="E74" s="27" t="s">
        <v>138</v>
      </c>
      <c r="F74" s="11">
        <v>1</v>
      </c>
      <c r="G74" s="11" t="s">
        <v>66</v>
      </c>
      <c r="H74" s="66">
        <v>22543627</v>
      </c>
      <c r="I74" s="11">
        <v>1</v>
      </c>
      <c r="J74" s="11" t="s">
        <v>66</v>
      </c>
      <c r="K74" s="22">
        <f>3000000+19543627</f>
        <v>22543627</v>
      </c>
      <c r="L74" s="23">
        <f t="shared" si="2"/>
        <v>1</v>
      </c>
      <c r="M74" s="14"/>
      <c r="N74" s="14"/>
      <c r="O74" s="22">
        <f>3000000+19543627</f>
        <v>22543627</v>
      </c>
      <c r="P74" s="14"/>
    </row>
    <row r="75" spans="1:16" s="16" customFormat="1" ht="12.75" x14ac:dyDescent="0.2">
      <c r="A75" s="11"/>
      <c r="B75" s="11"/>
      <c r="C75" s="11"/>
      <c r="D75" s="12" t="s">
        <v>20</v>
      </c>
      <c r="E75" s="13"/>
      <c r="F75" s="11"/>
      <c r="G75" s="11"/>
      <c r="H75" s="60">
        <f>H76</f>
        <v>48815000</v>
      </c>
      <c r="I75" s="11"/>
      <c r="J75" s="11"/>
      <c r="K75" s="15">
        <f>K76</f>
        <v>840000</v>
      </c>
      <c r="L75" s="14"/>
      <c r="M75" s="14"/>
      <c r="N75" s="14"/>
      <c r="O75" s="14"/>
      <c r="P75" s="14"/>
    </row>
    <row r="76" spans="1:16" s="16" customFormat="1" ht="12.75" x14ac:dyDescent="0.25">
      <c r="A76" s="11"/>
      <c r="B76" s="11"/>
      <c r="C76" s="11"/>
      <c r="D76" s="21" t="s">
        <v>53</v>
      </c>
      <c r="E76" s="14" t="s">
        <v>139</v>
      </c>
      <c r="F76" s="11">
        <v>1</v>
      </c>
      <c r="G76" s="11" t="s">
        <v>66</v>
      </c>
      <c r="H76" s="61">
        <v>48815000</v>
      </c>
      <c r="I76" s="11">
        <v>1</v>
      </c>
      <c r="J76" s="11" t="s">
        <v>66</v>
      </c>
      <c r="K76" s="22">
        <v>840000</v>
      </c>
      <c r="L76" s="23">
        <f>K76/H76</f>
        <v>1.7207825463484584E-2</v>
      </c>
      <c r="M76" s="14"/>
      <c r="N76" s="14"/>
      <c r="O76" s="22">
        <v>840000</v>
      </c>
      <c r="P76" s="14"/>
    </row>
    <row r="77" spans="1:16" s="16" customFormat="1" ht="12.75" x14ac:dyDescent="0.2">
      <c r="A77" s="11"/>
      <c r="B77" s="11"/>
      <c r="C77" s="11"/>
      <c r="D77" s="87" t="s">
        <v>140</v>
      </c>
      <c r="E77" s="88"/>
      <c r="F77" s="83"/>
      <c r="G77" s="83"/>
      <c r="H77" s="59">
        <v>536174733</v>
      </c>
      <c r="I77" s="83"/>
      <c r="J77" s="83"/>
      <c r="K77" s="52">
        <v>524839550</v>
      </c>
      <c r="L77" s="14"/>
      <c r="M77" s="14"/>
      <c r="N77" s="14"/>
      <c r="O77" s="14"/>
      <c r="P77" s="14"/>
    </row>
    <row r="78" spans="1:16" s="16" customFormat="1" ht="12.75" x14ac:dyDescent="0.2">
      <c r="A78" s="11"/>
      <c r="B78" s="11"/>
      <c r="C78" s="11"/>
      <c r="D78" s="12" t="s">
        <v>21</v>
      </c>
      <c r="E78" s="13"/>
      <c r="F78" s="11"/>
      <c r="G78" s="11"/>
      <c r="H78" s="60">
        <f>SUM(H79:H81)</f>
        <v>42708000</v>
      </c>
      <c r="I78" s="11"/>
      <c r="J78" s="11"/>
      <c r="K78" s="18">
        <f>SUM(K79:K81)</f>
        <v>39456000</v>
      </c>
      <c r="L78" s="14"/>
      <c r="M78" s="14"/>
      <c r="N78" s="14"/>
      <c r="O78" s="14"/>
      <c r="P78" s="14"/>
    </row>
    <row r="79" spans="1:16" s="16" customFormat="1" ht="42.75" customHeight="1" x14ac:dyDescent="0.25">
      <c r="A79" s="11"/>
      <c r="B79" s="11"/>
      <c r="C79" s="11"/>
      <c r="D79" s="29" t="s">
        <v>141</v>
      </c>
      <c r="E79" s="14" t="s">
        <v>142</v>
      </c>
      <c r="F79" s="11">
        <v>12</v>
      </c>
      <c r="G79" s="11" t="s">
        <v>64</v>
      </c>
      <c r="H79" s="66">
        <v>28008000</v>
      </c>
      <c r="I79" s="11">
        <v>6</v>
      </c>
      <c r="J79" s="11" t="s">
        <v>64</v>
      </c>
      <c r="K79" s="22">
        <f>6252000+6168000+6168000+6168000</f>
        <v>24756000</v>
      </c>
      <c r="L79" s="23">
        <f>K79/H79</f>
        <v>0.88389031705227084</v>
      </c>
      <c r="M79" s="22">
        <f>K79</f>
        <v>24756000</v>
      </c>
      <c r="N79" s="14"/>
      <c r="O79" s="14"/>
      <c r="P79" s="14"/>
    </row>
    <row r="80" spans="1:16" s="16" customFormat="1" ht="25.5" x14ac:dyDescent="0.25">
      <c r="A80" s="11"/>
      <c r="B80" s="11"/>
      <c r="C80" s="11"/>
      <c r="D80" s="36" t="s">
        <v>143</v>
      </c>
      <c r="E80" s="14" t="s">
        <v>144</v>
      </c>
      <c r="F80" s="11">
        <v>6</v>
      </c>
      <c r="G80" s="11" t="s">
        <v>145</v>
      </c>
      <c r="H80" s="66">
        <v>11100000</v>
      </c>
      <c r="I80" s="11">
        <v>6</v>
      </c>
      <c r="J80" s="11" t="s">
        <v>145</v>
      </c>
      <c r="K80" s="22">
        <v>11100000</v>
      </c>
      <c r="L80" s="23">
        <f>K80/H80</f>
        <v>1</v>
      </c>
      <c r="M80" s="15">
        <f>K80</f>
        <v>11100000</v>
      </c>
      <c r="N80" s="14"/>
      <c r="O80" s="14"/>
      <c r="P80" s="14"/>
    </row>
    <row r="81" spans="1:16" s="16" customFormat="1" ht="40.5" customHeight="1" x14ac:dyDescent="0.25">
      <c r="A81" s="11"/>
      <c r="B81" s="11"/>
      <c r="C81" s="11"/>
      <c r="D81" s="29" t="s">
        <v>146</v>
      </c>
      <c r="E81" s="14" t="s">
        <v>147</v>
      </c>
      <c r="F81" s="11">
        <v>12</v>
      </c>
      <c r="G81" s="11" t="s">
        <v>64</v>
      </c>
      <c r="H81" s="66">
        <v>3600000</v>
      </c>
      <c r="I81" s="11">
        <v>6</v>
      </c>
      <c r="J81" s="11" t="s">
        <v>64</v>
      </c>
      <c r="K81" s="22">
        <f>900000+900000+900000+900000</f>
        <v>3600000</v>
      </c>
      <c r="L81" s="23">
        <f>K81/H81</f>
        <v>1</v>
      </c>
      <c r="M81" s="22">
        <f>K81</f>
        <v>3600000</v>
      </c>
      <c r="N81" s="14"/>
      <c r="O81" s="14"/>
      <c r="P81" s="14"/>
    </row>
    <row r="82" spans="1:16" s="16" customFormat="1" ht="12.75" x14ac:dyDescent="0.2">
      <c r="A82" s="11"/>
      <c r="B82" s="11"/>
      <c r="C82" s="11"/>
      <c r="D82" s="12" t="s">
        <v>22</v>
      </c>
      <c r="E82" s="13"/>
      <c r="F82" s="11"/>
      <c r="G82" s="11"/>
      <c r="H82" s="60">
        <f>SUM(H83:H85)</f>
        <v>101071868</v>
      </c>
      <c r="I82" s="11"/>
      <c r="J82" s="11"/>
      <c r="K82" s="18">
        <f>SUM(K83:K85)</f>
        <v>87009000</v>
      </c>
      <c r="L82" s="14"/>
      <c r="M82" s="14"/>
      <c r="N82" s="14"/>
      <c r="O82" s="14"/>
      <c r="P82" s="14"/>
    </row>
    <row r="83" spans="1:16" s="16" customFormat="1" ht="25.5" x14ac:dyDescent="0.25">
      <c r="A83" s="11"/>
      <c r="B83" s="11"/>
      <c r="C83" s="11"/>
      <c r="D83" s="36" t="s">
        <v>148</v>
      </c>
      <c r="E83" s="14" t="s">
        <v>149</v>
      </c>
      <c r="F83" s="11">
        <v>12</v>
      </c>
      <c r="G83" s="11" t="s">
        <v>64</v>
      </c>
      <c r="H83" s="66">
        <v>30641868</v>
      </c>
      <c r="I83" s="11">
        <v>6</v>
      </c>
      <c r="J83" s="11" t="s">
        <v>64</v>
      </c>
      <c r="K83" s="22">
        <f>5437500+5778000+6765500+7033000</f>
        <v>25014000</v>
      </c>
      <c r="L83" s="23">
        <f>K83/H83</f>
        <v>0.81633404334226622</v>
      </c>
      <c r="M83" s="22">
        <f>K83</f>
        <v>25014000</v>
      </c>
      <c r="N83" s="14"/>
      <c r="O83" s="14"/>
      <c r="P83" s="14"/>
    </row>
    <row r="84" spans="1:16" s="16" customFormat="1" ht="25.5" x14ac:dyDescent="0.25">
      <c r="A84" s="11"/>
      <c r="B84" s="11"/>
      <c r="C84" s="11"/>
      <c r="D84" s="37" t="s">
        <v>54</v>
      </c>
      <c r="E84" s="27" t="s">
        <v>150</v>
      </c>
      <c r="F84" s="11">
        <v>12</v>
      </c>
      <c r="G84" s="11" t="s">
        <v>64</v>
      </c>
      <c r="H84" s="66">
        <v>12160000</v>
      </c>
      <c r="I84" s="11">
        <v>6</v>
      </c>
      <c r="J84" s="11" t="s">
        <v>64</v>
      </c>
      <c r="K84" s="22">
        <f>1420000+1890000+1710000</f>
        <v>5020000</v>
      </c>
      <c r="L84" s="23">
        <f>K84/H84</f>
        <v>0.41282894736842107</v>
      </c>
      <c r="M84" s="22">
        <f>K84</f>
        <v>5020000</v>
      </c>
      <c r="N84" s="14"/>
      <c r="O84" s="14"/>
      <c r="P84" s="14"/>
    </row>
    <row r="85" spans="1:16" s="16" customFormat="1" ht="12.75" x14ac:dyDescent="0.25">
      <c r="A85" s="11"/>
      <c r="B85" s="11"/>
      <c r="C85" s="11"/>
      <c r="D85" s="37" t="s">
        <v>151</v>
      </c>
      <c r="E85" s="14" t="s">
        <v>152</v>
      </c>
      <c r="F85" s="11">
        <v>12</v>
      </c>
      <c r="G85" s="11" t="s">
        <v>64</v>
      </c>
      <c r="H85" s="66">
        <v>58270000</v>
      </c>
      <c r="I85" s="11">
        <v>6</v>
      </c>
      <c r="J85" s="11" t="s">
        <v>64</v>
      </c>
      <c r="K85" s="22">
        <f>14620000+14060000+13815000+13710000+770000</f>
        <v>56975000</v>
      </c>
      <c r="L85" s="23">
        <f>K85/H85</f>
        <v>0.97777587094559804</v>
      </c>
      <c r="M85" s="22">
        <f>K85</f>
        <v>56975000</v>
      </c>
      <c r="N85" s="14"/>
      <c r="O85" s="14"/>
      <c r="P85" s="14"/>
    </row>
    <row r="86" spans="1:16" s="16" customFormat="1" ht="12.75" x14ac:dyDescent="0.2">
      <c r="A86" s="11"/>
      <c r="B86" s="11"/>
      <c r="C86" s="11"/>
      <c r="D86" s="12" t="s">
        <v>23</v>
      </c>
      <c r="E86" s="13"/>
      <c r="F86" s="11"/>
      <c r="G86" s="11"/>
      <c r="H86" s="60">
        <f>SUM(H87:H90)</f>
        <v>324002865</v>
      </c>
      <c r="I86" s="11"/>
      <c r="J86" s="11"/>
      <c r="K86" s="18">
        <f>SUM(K87:K91)</f>
        <v>372754550</v>
      </c>
      <c r="L86" s="14"/>
      <c r="M86" s="14"/>
      <c r="N86" s="14"/>
      <c r="O86" s="14"/>
      <c r="P86" s="14"/>
    </row>
    <row r="87" spans="1:16" s="16" customFormat="1" ht="12.75" x14ac:dyDescent="0.25">
      <c r="A87" s="11"/>
      <c r="B87" s="11"/>
      <c r="C87" s="11"/>
      <c r="D87" s="37" t="s">
        <v>153</v>
      </c>
      <c r="E87" s="14" t="s">
        <v>154</v>
      </c>
      <c r="F87" s="11">
        <v>1</v>
      </c>
      <c r="G87" s="11" t="s">
        <v>66</v>
      </c>
      <c r="H87" s="66">
        <v>169784860</v>
      </c>
      <c r="I87" s="11">
        <v>1</v>
      </c>
      <c r="J87" s="11" t="s">
        <v>66</v>
      </c>
      <c r="K87" s="22">
        <v>169784800</v>
      </c>
      <c r="L87" s="23">
        <f>K87/H87</f>
        <v>0.99999964661160012</v>
      </c>
      <c r="M87" s="22">
        <v>169784800</v>
      </c>
      <c r="N87" s="14"/>
      <c r="O87" s="14"/>
      <c r="P87" s="14"/>
    </row>
    <row r="88" spans="1:16" s="16" customFormat="1" ht="12.75" x14ac:dyDescent="0.25">
      <c r="A88" s="11"/>
      <c r="B88" s="11"/>
      <c r="C88" s="11"/>
      <c r="D88" s="37" t="s">
        <v>155</v>
      </c>
      <c r="E88" s="14" t="s">
        <v>156</v>
      </c>
      <c r="F88" s="11">
        <v>1</v>
      </c>
      <c r="G88" s="11" t="s">
        <v>66</v>
      </c>
      <c r="H88" s="67">
        <v>0</v>
      </c>
      <c r="I88" s="11"/>
      <c r="J88" s="11"/>
      <c r="K88" s="14"/>
      <c r="L88" s="14"/>
      <c r="M88" s="14"/>
      <c r="N88" s="14"/>
      <c r="O88" s="14"/>
      <c r="P88" s="14"/>
    </row>
    <row r="89" spans="1:16" s="16" customFormat="1" ht="40.5" customHeight="1" x14ac:dyDescent="0.25">
      <c r="A89" s="11"/>
      <c r="B89" s="11"/>
      <c r="C89" s="11"/>
      <c r="D89" s="29" t="s">
        <v>157</v>
      </c>
      <c r="E89" s="14" t="s">
        <v>154</v>
      </c>
      <c r="F89" s="11">
        <v>1</v>
      </c>
      <c r="G89" s="11" t="s">
        <v>66</v>
      </c>
      <c r="H89" s="66">
        <v>154218005</v>
      </c>
      <c r="I89" s="11">
        <v>1</v>
      </c>
      <c r="J89" s="11" t="s">
        <v>66</v>
      </c>
      <c r="K89" s="22">
        <v>154218000</v>
      </c>
      <c r="L89" s="23">
        <f>K89/H89</f>
        <v>0.99999996757836418</v>
      </c>
      <c r="M89" s="22">
        <v>154218000</v>
      </c>
      <c r="N89" s="14"/>
      <c r="O89" s="14"/>
      <c r="P89" s="14"/>
    </row>
    <row r="90" spans="1:16" s="16" customFormat="1" ht="43.5" customHeight="1" x14ac:dyDescent="0.25">
      <c r="A90" s="11"/>
      <c r="B90" s="11"/>
      <c r="C90" s="11"/>
      <c r="D90" s="29" t="s">
        <v>158</v>
      </c>
      <c r="E90" s="27" t="s">
        <v>159</v>
      </c>
      <c r="F90" s="11">
        <v>1</v>
      </c>
      <c r="G90" s="11" t="s">
        <v>66</v>
      </c>
      <c r="H90" s="67">
        <v>0</v>
      </c>
      <c r="I90" s="11"/>
      <c r="J90" s="11"/>
      <c r="K90" s="14"/>
      <c r="L90" s="14"/>
      <c r="M90" s="14"/>
      <c r="N90" s="14"/>
      <c r="O90" s="14"/>
      <c r="P90" s="14"/>
    </row>
    <row r="91" spans="1:16" s="16" customFormat="1" ht="31.5" customHeight="1" x14ac:dyDescent="0.25">
      <c r="A91" s="11"/>
      <c r="B91" s="11"/>
      <c r="C91" s="11"/>
      <c r="D91" s="36" t="s">
        <v>160</v>
      </c>
      <c r="E91" s="27" t="s">
        <v>161</v>
      </c>
      <c r="F91" s="11">
        <v>1</v>
      </c>
      <c r="G91" s="11" t="s">
        <v>66</v>
      </c>
      <c r="H91" s="67">
        <v>50000000</v>
      </c>
      <c r="I91" s="11">
        <v>1</v>
      </c>
      <c r="J91" s="11" t="s">
        <v>66</v>
      </c>
      <c r="K91" s="22">
        <v>48751750</v>
      </c>
      <c r="L91" s="23">
        <f>K91/H91</f>
        <v>0.97503499999999999</v>
      </c>
      <c r="M91" s="14"/>
      <c r="N91" s="14"/>
      <c r="O91" s="15">
        <f>K91</f>
        <v>48751750</v>
      </c>
      <c r="P91" s="14"/>
    </row>
    <row r="92" spans="1:16" s="16" customFormat="1" ht="12.75" x14ac:dyDescent="0.2">
      <c r="A92" s="11"/>
      <c r="B92" s="11"/>
      <c r="C92" s="11"/>
      <c r="D92" s="12" t="s">
        <v>55</v>
      </c>
      <c r="E92" s="13"/>
      <c r="F92" s="11"/>
      <c r="G92" s="11"/>
      <c r="H92" s="64">
        <f>SUM(H93:H95)</f>
        <v>25000000</v>
      </c>
      <c r="I92" s="11"/>
      <c r="J92" s="11"/>
      <c r="K92" s="25">
        <f>SUM(K93:K95)</f>
        <v>24820000</v>
      </c>
      <c r="L92" s="14"/>
      <c r="M92" s="14"/>
      <c r="N92" s="14"/>
      <c r="O92" s="14"/>
      <c r="P92" s="14"/>
    </row>
    <row r="93" spans="1:16" s="16" customFormat="1" ht="39.75" customHeight="1" x14ac:dyDescent="0.25">
      <c r="A93" s="11"/>
      <c r="B93" s="11"/>
      <c r="C93" s="11"/>
      <c r="D93" s="29" t="s">
        <v>162</v>
      </c>
      <c r="E93" s="14" t="s">
        <v>163</v>
      </c>
      <c r="F93" s="11">
        <v>10</v>
      </c>
      <c r="G93" s="11" t="s">
        <v>65</v>
      </c>
      <c r="H93" s="66"/>
      <c r="I93" s="11"/>
      <c r="J93" s="11"/>
      <c r="K93" s="14"/>
      <c r="L93" s="14"/>
      <c r="M93" s="14"/>
      <c r="N93" s="14"/>
      <c r="O93" s="14"/>
      <c r="P93" s="14"/>
    </row>
    <row r="94" spans="1:16" s="16" customFormat="1" ht="12.75" x14ac:dyDescent="0.25">
      <c r="A94" s="11"/>
      <c r="B94" s="11"/>
      <c r="C94" s="11"/>
      <c r="D94" s="36" t="s">
        <v>164</v>
      </c>
      <c r="E94" s="14" t="s">
        <v>165</v>
      </c>
      <c r="F94" s="11">
        <v>1</v>
      </c>
      <c r="G94" s="11" t="s">
        <v>66</v>
      </c>
      <c r="H94" s="67">
        <v>25000000</v>
      </c>
      <c r="I94" s="11">
        <v>1</v>
      </c>
      <c r="J94" s="11" t="s">
        <v>66</v>
      </c>
      <c r="K94" s="22">
        <v>24820000</v>
      </c>
      <c r="L94" s="23">
        <f>K94/H94</f>
        <v>0.99280000000000002</v>
      </c>
      <c r="M94" s="14"/>
      <c r="N94" s="14"/>
      <c r="O94" s="15">
        <f>K94</f>
        <v>24820000</v>
      </c>
      <c r="P94" s="14"/>
    </row>
    <row r="95" spans="1:16" s="16" customFormat="1" ht="12.75" x14ac:dyDescent="0.25">
      <c r="A95" s="11"/>
      <c r="B95" s="11"/>
      <c r="C95" s="11"/>
      <c r="D95" s="37" t="s">
        <v>56</v>
      </c>
      <c r="E95" s="14" t="s">
        <v>166</v>
      </c>
      <c r="F95" s="11">
        <v>10</v>
      </c>
      <c r="G95" s="11" t="s">
        <v>65</v>
      </c>
      <c r="H95" s="66"/>
      <c r="I95" s="11"/>
      <c r="J95" s="11"/>
      <c r="K95" s="14"/>
      <c r="L95" s="14"/>
      <c r="M95" s="14"/>
      <c r="N95" s="14"/>
      <c r="O95" s="14"/>
      <c r="P95" s="14"/>
    </row>
    <row r="96" spans="1:16" s="16" customFormat="1" ht="12.75" x14ac:dyDescent="0.2">
      <c r="A96" s="11"/>
      <c r="B96" s="11"/>
      <c r="C96" s="11"/>
      <c r="D96" s="12" t="s">
        <v>57</v>
      </c>
      <c r="E96" s="13"/>
      <c r="F96" s="11"/>
      <c r="G96" s="11"/>
      <c r="H96" s="60">
        <v>1600000</v>
      </c>
      <c r="I96" s="11"/>
      <c r="J96" s="11"/>
      <c r="K96" s="18">
        <f>K97</f>
        <v>800000</v>
      </c>
      <c r="L96" s="14"/>
      <c r="M96" s="14"/>
      <c r="N96" s="14"/>
      <c r="O96" s="14"/>
      <c r="P96" s="14"/>
    </row>
    <row r="97" spans="1:16" s="16" customFormat="1" ht="25.5" x14ac:dyDescent="0.25">
      <c r="A97" s="11"/>
      <c r="B97" s="11"/>
      <c r="C97" s="11"/>
      <c r="D97" s="36" t="s">
        <v>167</v>
      </c>
      <c r="E97" s="27" t="s">
        <v>168</v>
      </c>
      <c r="F97" s="11">
        <v>2</v>
      </c>
      <c r="G97" s="11" t="s">
        <v>65</v>
      </c>
      <c r="H97" s="66">
        <v>1600000</v>
      </c>
      <c r="I97" s="11">
        <v>1</v>
      </c>
      <c r="J97" s="11" t="s">
        <v>65</v>
      </c>
      <c r="K97" s="22">
        <v>800000</v>
      </c>
      <c r="L97" s="23">
        <f>K97/H97</f>
        <v>0.5</v>
      </c>
      <c r="M97" s="15">
        <f>K97</f>
        <v>800000</v>
      </c>
      <c r="N97" s="14"/>
      <c r="O97" s="14"/>
      <c r="P97" s="14"/>
    </row>
    <row r="98" spans="1:16" s="16" customFormat="1" ht="12.75" x14ac:dyDescent="0.2">
      <c r="A98" s="11"/>
      <c r="B98" s="11"/>
      <c r="C98" s="11"/>
      <c r="D98" s="87" t="s">
        <v>69</v>
      </c>
      <c r="E98" s="88"/>
      <c r="F98" s="83"/>
      <c r="G98" s="83"/>
      <c r="H98" s="59">
        <f>H99+H101+H103+H106</f>
        <v>13099000</v>
      </c>
      <c r="I98" s="83"/>
      <c r="J98" s="83"/>
      <c r="K98" s="53">
        <f>K99+K101+K103+K106</f>
        <v>11424000</v>
      </c>
      <c r="L98" s="14"/>
      <c r="M98" s="14"/>
      <c r="N98" s="14"/>
      <c r="O98" s="14"/>
      <c r="P98" s="14"/>
    </row>
    <row r="99" spans="1:16" s="16" customFormat="1" ht="12.75" x14ac:dyDescent="0.2">
      <c r="A99" s="11"/>
      <c r="B99" s="11"/>
      <c r="C99" s="11"/>
      <c r="D99" s="12" t="s">
        <v>58</v>
      </c>
      <c r="E99" s="13"/>
      <c r="F99" s="11"/>
      <c r="G99" s="11"/>
      <c r="H99" s="64">
        <f>H100</f>
        <v>0</v>
      </c>
      <c r="I99" s="11"/>
      <c r="J99" s="11"/>
      <c r="K99" s="34">
        <f>K100</f>
        <v>0</v>
      </c>
      <c r="L99" s="14"/>
      <c r="M99" s="14"/>
      <c r="N99" s="14"/>
      <c r="O99" s="14"/>
      <c r="P99" s="14"/>
    </row>
    <row r="100" spans="1:16" s="16" customFormat="1" ht="25.5" x14ac:dyDescent="0.25">
      <c r="A100" s="11"/>
      <c r="B100" s="11"/>
      <c r="C100" s="11"/>
      <c r="D100" s="29" t="s">
        <v>169</v>
      </c>
      <c r="E100" s="27" t="s">
        <v>170</v>
      </c>
      <c r="F100" s="11">
        <v>1</v>
      </c>
      <c r="G100" s="11" t="s">
        <v>66</v>
      </c>
      <c r="H100" s="67">
        <v>0</v>
      </c>
      <c r="I100" s="11"/>
      <c r="J100" s="11"/>
      <c r="K100" s="14"/>
      <c r="L100" s="14"/>
      <c r="M100" s="14"/>
      <c r="N100" s="14"/>
      <c r="O100" s="14"/>
      <c r="P100" s="14"/>
    </row>
    <row r="101" spans="1:16" s="16" customFormat="1" ht="12.75" x14ac:dyDescent="0.2">
      <c r="A101" s="11"/>
      <c r="B101" s="11"/>
      <c r="C101" s="11"/>
      <c r="D101" s="12" t="s">
        <v>24</v>
      </c>
      <c r="E101" s="13"/>
      <c r="F101" s="11"/>
      <c r="G101" s="11"/>
      <c r="H101" s="64">
        <f>H102</f>
        <v>0</v>
      </c>
      <c r="I101" s="11"/>
      <c r="J101" s="11"/>
      <c r="K101" s="14"/>
      <c r="L101" s="14"/>
      <c r="M101" s="14"/>
      <c r="N101" s="14"/>
      <c r="O101" s="14"/>
      <c r="P101" s="14"/>
    </row>
    <row r="102" spans="1:16" s="16" customFormat="1" ht="25.5" x14ac:dyDescent="0.25">
      <c r="A102" s="11"/>
      <c r="B102" s="11"/>
      <c r="C102" s="11"/>
      <c r="D102" s="29" t="s">
        <v>171</v>
      </c>
      <c r="E102" s="27" t="s">
        <v>172</v>
      </c>
      <c r="F102" s="11">
        <v>1</v>
      </c>
      <c r="G102" s="11" t="s">
        <v>173</v>
      </c>
      <c r="H102" s="67">
        <v>0</v>
      </c>
      <c r="I102" s="11"/>
      <c r="J102" s="11"/>
      <c r="K102" s="14"/>
      <c r="L102" s="14"/>
      <c r="M102" s="14"/>
      <c r="N102" s="14"/>
      <c r="O102" s="14"/>
      <c r="P102" s="14"/>
    </row>
    <row r="103" spans="1:16" s="16" customFormat="1" ht="12.75" x14ac:dyDescent="0.2">
      <c r="A103" s="11"/>
      <c r="B103" s="11"/>
      <c r="C103" s="11"/>
      <c r="D103" s="12" t="s">
        <v>59</v>
      </c>
      <c r="E103" s="13"/>
      <c r="F103" s="11"/>
      <c r="G103" s="11"/>
      <c r="H103" s="64">
        <f>SUM(H104:H105)</f>
        <v>914000</v>
      </c>
      <c r="I103" s="11"/>
      <c r="J103" s="11"/>
      <c r="K103" s="34">
        <f>SUM(K104:K105)</f>
        <v>914000</v>
      </c>
      <c r="L103" s="14"/>
      <c r="M103" s="14"/>
      <c r="N103" s="14"/>
      <c r="O103" s="14"/>
      <c r="P103" s="14"/>
    </row>
    <row r="104" spans="1:16" s="16" customFormat="1" ht="38.25" x14ac:dyDescent="0.25">
      <c r="A104" s="11"/>
      <c r="B104" s="11"/>
      <c r="C104" s="11"/>
      <c r="D104" s="21" t="s">
        <v>60</v>
      </c>
      <c r="E104" s="27" t="s">
        <v>174</v>
      </c>
      <c r="F104" s="11">
        <v>1</v>
      </c>
      <c r="G104" s="11" t="s">
        <v>66</v>
      </c>
      <c r="H104" s="62">
        <v>0</v>
      </c>
      <c r="I104" s="11"/>
      <c r="J104" s="11"/>
      <c r="K104" s="14"/>
      <c r="L104" s="14"/>
      <c r="M104" s="14"/>
      <c r="N104" s="14"/>
      <c r="O104" s="14"/>
      <c r="P104" s="14"/>
    </row>
    <row r="105" spans="1:16" s="16" customFormat="1" ht="25.5" x14ac:dyDescent="0.2">
      <c r="A105" s="11"/>
      <c r="B105" s="11"/>
      <c r="C105" s="11"/>
      <c r="D105" s="21" t="s">
        <v>61</v>
      </c>
      <c r="E105" s="43" t="s">
        <v>175</v>
      </c>
      <c r="F105" s="11">
        <v>12</v>
      </c>
      <c r="G105" s="11" t="s">
        <v>64</v>
      </c>
      <c r="H105" s="62">
        <v>914000</v>
      </c>
      <c r="I105" s="11">
        <v>1</v>
      </c>
      <c r="J105" s="11" t="s">
        <v>66</v>
      </c>
      <c r="K105" s="22">
        <f>457000+457000</f>
        <v>914000</v>
      </c>
      <c r="L105" s="23">
        <f>K105/H105</f>
        <v>1</v>
      </c>
      <c r="M105" s="14"/>
      <c r="N105" s="14"/>
      <c r="O105" s="15">
        <f>K105</f>
        <v>914000</v>
      </c>
      <c r="P105" s="14"/>
    </row>
    <row r="106" spans="1:16" s="16" customFormat="1" ht="12.75" x14ac:dyDescent="0.2">
      <c r="A106" s="11"/>
      <c r="B106" s="11"/>
      <c r="C106" s="11"/>
      <c r="D106" s="12" t="s">
        <v>25</v>
      </c>
      <c r="E106" s="13"/>
      <c r="F106" s="11"/>
      <c r="G106" s="11"/>
      <c r="H106" s="60">
        <f>SUM(H107:H109)</f>
        <v>12185000</v>
      </c>
      <c r="I106" s="11"/>
      <c r="J106" s="11"/>
      <c r="K106" s="17">
        <f>SUM(K107:K109)</f>
        <v>10510000</v>
      </c>
      <c r="L106" s="14"/>
      <c r="M106" s="14"/>
      <c r="N106" s="14"/>
      <c r="O106" s="14"/>
      <c r="P106" s="14"/>
    </row>
    <row r="107" spans="1:16" s="16" customFormat="1" ht="40.5" customHeight="1" x14ac:dyDescent="0.25">
      <c r="A107" s="11"/>
      <c r="B107" s="11"/>
      <c r="C107" s="11"/>
      <c r="D107" s="29" t="s">
        <v>176</v>
      </c>
      <c r="E107" s="40" t="s">
        <v>177</v>
      </c>
      <c r="F107" s="11">
        <v>4</v>
      </c>
      <c r="G107" s="11" t="s">
        <v>63</v>
      </c>
      <c r="H107" s="66">
        <v>6850000</v>
      </c>
      <c r="I107" s="11">
        <v>2</v>
      </c>
      <c r="J107" s="11" t="s">
        <v>63</v>
      </c>
      <c r="K107" s="22">
        <f>4550000+2300000</f>
        <v>6850000</v>
      </c>
      <c r="L107" s="23">
        <f>K107/H107</f>
        <v>1</v>
      </c>
      <c r="M107" s="14"/>
      <c r="N107" s="14"/>
      <c r="O107" s="15">
        <f>K107</f>
        <v>6850000</v>
      </c>
      <c r="P107" s="14"/>
    </row>
    <row r="108" spans="1:16" s="16" customFormat="1" ht="12.75" x14ac:dyDescent="0.2">
      <c r="A108" s="11"/>
      <c r="B108" s="11"/>
      <c r="C108" s="11"/>
      <c r="D108" s="21" t="s">
        <v>178</v>
      </c>
      <c r="E108" s="39" t="s">
        <v>179</v>
      </c>
      <c r="F108" s="11">
        <v>12</v>
      </c>
      <c r="G108" s="11" t="s">
        <v>64</v>
      </c>
      <c r="H108" s="66">
        <v>1675000</v>
      </c>
      <c r="I108" s="11"/>
      <c r="J108" s="11"/>
      <c r="K108" s="14"/>
      <c r="L108" s="23">
        <f>K108/H108</f>
        <v>0</v>
      </c>
      <c r="M108" s="14"/>
      <c r="N108" s="14"/>
      <c r="O108" s="14"/>
      <c r="P108" s="14"/>
    </row>
    <row r="109" spans="1:16" s="16" customFormat="1" ht="12.75" x14ac:dyDescent="0.2">
      <c r="A109" s="11"/>
      <c r="B109" s="11"/>
      <c r="C109" s="11"/>
      <c r="D109" s="21" t="s">
        <v>62</v>
      </c>
      <c r="E109" s="39" t="s">
        <v>180</v>
      </c>
      <c r="F109" s="11">
        <v>12</v>
      </c>
      <c r="G109" s="11" t="s">
        <v>64</v>
      </c>
      <c r="H109" s="66">
        <v>3660000</v>
      </c>
      <c r="I109" s="11">
        <v>6</v>
      </c>
      <c r="J109" s="11" t="s">
        <v>64</v>
      </c>
      <c r="K109" s="22">
        <f>1480000+2180000</f>
        <v>3660000</v>
      </c>
      <c r="L109" s="23">
        <f>K109/H109</f>
        <v>1</v>
      </c>
      <c r="M109" s="14"/>
      <c r="N109" s="14"/>
      <c r="O109" s="15">
        <f>K109</f>
        <v>3660000</v>
      </c>
      <c r="P109" s="14"/>
    </row>
    <row r="110" spans="1:16" s="16" customFormat="1" ht="12.75" x14ac:dyDescent="0.2">
      <c r="A110" s="11"/>
      <c r="B110" s="11"/>
      <c r="C110" s="11"/>
      <c r="D110" s="87" t="s">
        <v>70</v>
      </c>
      <c r="E110" s="88"/>
      <c r="F110" s="83"/>
      <c r="G110" s="83"/>
      <c r="H110" s="68">
        <f>H111+H114</f>
        <v>16280000</v>
      </c>
      <c r="I110" s="83"/>
      <c r="J110" s="83"/>
      <c r="K110" s="54">
        <f>K111+K114</f>
        <v>13100000</v>
      </c>
      <c r="L110" s="14"/>
      <c r="M110" s="14"/>
      <c r="N110" s="14"/>
      <c r="O110" s="14"/>
      <c r="P110" s="14"/>
    </row>
    <row r="111" spans="1:16" s="16" customFormat="1" ht="12.75" x14ac:dyDescent="0.2">
      <c r="A111" s="11"/>
      <c r="B111" s="11"/>
      <c r="C111" s="11"/>
      <c r="D111" s="12" t="s">
        <v>26</v>
      </c>
      <c r="E111" s="13"/>
      <c r="F111" s="11"/>
      <c r="G111" s="11"/>
      <c r="H111" s="64">
        <f>SUM(H112:H113)</f>
        <v>0</v>
      </c>
      <c r="I111" s="11"/>
      <c r="J111" s="11"/>
      <c r="K111" s="34">
        <f>SUM(K112:K113)</f>
        <v>0</v>
      </c>
      <c r="L111" s="14"/>
      <c r="M111" s="14"/>
      <c r="N111" s="14"/>
      <c r="O111" s="14"/>
      <c r="P111" s="14"/>
    </row>
    <row r="112" spans="1:16" s="16" customFormat="1" ht="12.75" x14ac:dyDescent="0.2">
      <c r="A112" s="11"/>
      <c r="B112" s="11"/>
      <c r="C112" s="11"/>
      <c r="D112" s="21" t="s">
        <v>181</v>
      </c>
      <c r="E112" s="39" t="s">
        <v>182</v>
      </c>
      <c r="F112" s="11">
        <v>1</v>
      </c>
      <c r="G112" s="11" t="s">
        <v>66</v>
      </c>
      <c r="H112" s="67">
        <v>0</v>
      </c>
      <c r="I112" s="11"/>
      <c r="J112" s="11"/>
      <c r="K112" s="14"/>
      <c r="L112" s="14"/>
      <c r="M112" s="14"/>
      <c r="N112" s="14"/>
      <c r="O112" s="14"/>
      <c r="P112" s="14"/>
    </row>
    <row r="113" spans="1:16" s="16" customFormat="1" ht="25.5" x14ac:dyDescent="0.25">
      <c r="A113" s="11"/>
      <c r="B113" s="11"/>
      <c r="C113" s="11"/>
      <c r="D113" s="29" t="s">
        <v>183</v>
      </c>
      <c r="E113" s="44" t="s">
        <v>184</v>
      </c>
      <c r="F113" s="11">
        <v>1</v>
      </c>
      <c r="G113" s="11" t="s">
        <v>66</v>
      </c>
      <c r="H113" s="67">
        <v>0</v>
      </c>
      <c r="I113" s="11"/>
      <c r="J113" s="11"/>
      <c r="K113" s="14"/>
      <c r="L113" s="14"/>
      <c r="M113" s="14"/>
      <c r="N113" s="14"/>
      <c r="O113" s="14"/>
      <c r="P113" s="14"/>
    </row>
    <row r="114" spans="1:16" s="16" customFormat="1" ht="12.75" x14ac:dyDescent="0.2">
      <c r="A114" s="11"/>
      <c r="B114" s="11"/>
      <c r="C114" s="11"/>
      <c r="D114" s="12" t="s">
        <v>34</v>
      </c>
      <c r="E114" s="13"/>
      <c r="F114" s="11"/>
      <c r="G114" s="11"/>
      <c r="H114" s="60">
        <f>SUM(H115:H116)</f>
        <v>16280000</v>
      </c>
      <c r="I114" s="11"/>
      <c r="J114" s="11"/>
      <c r="K114" s="20">
        <f>SUM(K115:K116)</f>
        <v>13100000</v>
      </c>
      <c r="L114" s="14"/>
      <c r="M114" s="14"/>
      <c r="N114" s="14"/>
      <c r="O114" s="14"/>
      <c r="P114" s="14"/>
    </row>
    <row r="115" spans="1:16" s="16" customFormat="1" ht="25.5" x14ac:dyDescent="0.2">
      <c r="A115" s="11"/>
      <c r="B115" s="11"/>
      <c r="C115" s="11"/>
      <c r="D115" s="21" t="s">
        <v>185</v>
      </c>
      <c r="E115" s="45" t="s">
        <v>186</v>
      </c>
      <c r="F115" s="11">
        <v>1</v>
      </c>
      <c r="G115" s="11" t="s">
        <v>66</v>
      </c>
      <c r="H115" s="61">
        <v>10160000</v>
      </c>
      <c r="I115" s="11">
        <v>1</v>
      </c>
      <c r="J115" s="11" t="s">
        <v>66</v>
      </c>
      <c r="K115" s="22">
        <v>8660000</v>
      </c>
      <c r="L115" s="23">
        <f>K115/H115</f>
        <v>0.85236220472440949</v>
      </c>
      <c r="M115" s="22">
        <v>1160000</v>
      </c>
      <c r="N115" s="14"/>
      <c r="O115" s="22">
        <v>7500000</v>
      </c>
      <c r="P115" s="14"/>
    </row>
    <row r="116" spans="1:16" s="16" customFormat="1" ht="38.25" x14ac:dyDescent="0.25">
      <c r="A116" s="11"/>
      <c r="B116" s="11"/>
      <c r="C116" s="11"/>
      <c r="D116" s="29" t="s">
        <v>187</v>
      </c>
      <c r="E116" s="27" t="s">
        <v>188</v>
      </c>
      <c r="F116" s="11">
        <v>12</v>
      </c>
      <c r="G116" s="11" t="s">
        <v>189</v>
      </c>
      <c r="H116" s="66">
        <v>6120000</v>
      </c>
      <c r="I116" s="11">
        <v>6</v>
      </c>
      <c r="J116" s="11" t="s">
        <v>190</v>
      </c>
      <c r="K116" s="22">
        <f>4080000+360000</f>
        <v>4440000</v>
      </c>
      <c r="L116" s="23">
        <f>K116/H116</f>
        <v>0.72549019607843135</v>
      </c>
      <c r="M116" s="15">
        <f>K116</f>
        <v>4440000</v>
      </c>
      <c r="N116" s="14"/>
      <c r="O116" s="14"/>
      <c r="P116" s="14"/>
    </row>
    <row r="117" spans="1:16" s="16" customFormat="1" ht="12.75" x14ac:dyDescent="0.2">
      <c r="A117" s="11"/>
      <c r="B117" s="11"/>
      <c r="C117" s="11"/>
      <c r="D117" s="87" t="s">
        <v>191</v>
      </c>
      <c r="E117" s="88"/>
      <c r="F117" s="83"/>
      <c r="G117" s="83"/>
      <c r="H117" s="59">
        <f>H118</f>
        <v>514301148</v>
      </c>
      <c r="I117" s="83"/>
      <c r="J117" s="83"/>
      <c r="K117" s="74">
        <f>K118</f>
        <v>508961000</v>
      </c>
      <c r="L117" s="14"/>
      <c r="M117" s="14"/>
      <c r="N117" s="14"/>
      <c r="O117" s="14"/>
      <c r="P117" s="14"/>
    </row>
    <row r="118" spans="1:16" s="16" customFormat="1" ht="12.75" x14ac:dyDescent="0.2">
      <c r="A118" s="11"/>
      <c r="B118" s="11"/>
      <c r="C118" s="11"/>
      <c r="D118" s="12" t="s">
        <v>192</v>
      </c>
      <c r="E118" s="13"/>
      <c r="F118" s="11"/>
      <c r="G118" s="11"/>
      <c r="H118" s="60">
        <f>SUM(H119:H120)</f>
        <v>514301148</v>
      </c>
      <c r="I118" s="11"/>
      <c r="J118" s="11"/>
      <c r="K118" s="73">
        <f>SUM(K119:K120)</f>
        <v>508961000</v>
      </c>
      <c r="L118" s="14"/>
      <c r="M118" s="14"/>
      <c r="N118" s="14"/>
      <c r="O118" s="14"/>
      <c r="P118" s="14"/>
    </row>
    <row r="119" spans="1:16" s="16" customFormat="1" ht="25.5" x14ac:dyDescent="0.2">
      <c r="A119" s="11"/>
      <c r="B119" s="11"/>
      <c r="C119" s="11"/>
      <c r="D119" s="21" t="s">
        <v>193</v>
      </c>
      <c r="E119" s="45" t="s">
        <v>194</v>
      </c>
      <c r="F119" s="11">
        <v>1</v>
      </c>
      <c r="G119" s="11" t="s">
        <v>66</v>
      </c>
      <c r="H119" s="61">
        <v>25711263</v>
      </c>
      <c r="I119" s="11">
        <v>1</v>
      </c>
      <c r="J119" s="11" t="s">
        <v>66</v>
      </c>
      <c r="K119" s="22">
        <v>22650000</v>
      </c>
      <c r="L119" s="23">
        <f>K119/H119</f>
        <v>0.88093688746445475</v>
      </c>
      <c r="M119" s="14"/>
      <c r="N119" s="14"/>
      <c r="O119" s="15">
        <f>K119</f>
        <v>22650000</v>
      </c>
      <c r="P119" s="14"/>
    </row>
    <row r="120" spans="1:16" s="16" customFormat="1" ht="38.25" x14ac:dyDescent="0.25">
      <c r="A120" s="11"/>
      <c r="B120" s="11"/>
      <c r="C120" s="11"/>
      <c r="D120" s="21" t="s">
        <v>195</v>
      </c>
      <c r="E120" s="27" t="s">
        <v>196</v>
      </c>
      <c r="F120" s="11">
        <v>1</v>
      </c>
      <c r="G120" s="11" t="s">
        <v>66</v>
      </c>
      <c r="H120" s="61">
        <v>488589885</v>
      </c>
      <c r="I120" s="11">
        <v>1</v>
      </c>
      <c r="J120" s="11" t="s">
        <v>66</v>
      </c>
      <c r="K120" s="22">
        <f>96000000+95480000+93040000+182991000+1620000+17180000</f>
        <v>486311000</v>
      </c>
      <c r="L120" s="23">
        <f>K120/H120</f>
        <v>0.99533579169368191</v>
      </c>
      <c r="M120" s="22">
        <f>K120</f>
        <v>486311000</v>
      </c>
      <c r="N120" s="14"/>
      <c r="O120" s="14"/>
      <c r="P120" s="14"/>
    </row>
    <row r="121" spans="1:16" s="16" customFormat="1" ht="12.75" x14ac:dyDescent="0.25">
      <c r="A121" s="11"/>
      <c r="B121" s="11"/>
      <c r="C121" s="11"/>
      <c r="D121" s="79" t="s">
        <v>5</v>
      </c>
      <c r="E121" s="80"/>
      <c r="F121" s="81"/>
      <c r="G121" s="81"/>
      <c r="H121" s="72">
        <f>H117+H110+H98+H77+H46</f>
        <v>2046736627</v>
      </c>
      <c r="I121" s="81"/>
      <c r="J121" s="81"/>
      <c r="K121" s="75">
        <f>K117+K110+K98+K77+K46</f>
        <v>1959729340</v>
      </c>
      <c r="L121" s="14"/>
      <c r="M121" s="14"/>
      <c r="N121" s="14"/>
      <c r="O121" s="14"/>
      <c r="P121" s="14"/>
    </row>
    <row r="122" spans="1:16" s="16" customFormat="1" ht="12.75" x14ac:dyDescent="0.25">
      <c r="A122" s="11"/>
      <c r="B122" s="11"/>
      <c r="C122" s="11"/>
      <c r="D122" s="12" t="s">
        <v>197</v>
      </c>
      <c r="E122" s="14"/>
      <c r="F122" s="11"/>
      <c r="G122" s="11"/>
      <c r="H122" s="59">
        <v>59246064</v>
      </c>
      <c r="I122" s="83"/>
      <c r="J122" s="83"/>
      <c r="K122" s="82">
        <v>19778521</v>
      </c>
      <c r="L122" s="14"/>
      <c r="M122" s="14"/>
      <c r="N122" s="14"/>
      <c r="O122" s="14"/>
      <c r="P122" s="14"/>
    </row>
    <row r="123" spans="1:16" s="16" customFormat="1" ht="12.75" x14ac:dyDescent="0.2">
      <c r="A123" s="11"/>
      <c r="B123" s="11"/>
      <c r="C123" s="11"/>
      <c r="D123" s="12" t="s">
        <v>6</v>
      </c>
      <c r="E123" s="13"/>
      <c r="F123" s="11"/>
      <c r="G123" s="11"/>
      <c r="H123" s="84"/>
      <c r="I123" s="83"/>
      <c r="J123" s="83"/>
      <c r="K123" s="85"/>
      <c r="L123" s="14"/>
      <c r="M123" s="14"/>
      <c r="N123" s="14"/>
      <c r="O123" s="14"/>
      <c r="P123" s="14"/>
    </row>
    <row r="124" spans="1:16" s="16" customFormat="1" ht="12.75" x14ac:dyDescent="0.25">
      <c r="A124" s="11"/>
      <c r="B124" s="11"/>
      <c r="C124" s="11"/>
      <c r="D124" s="21" t="s">
        <v>7</v>
      </c>
      <c r="E124" s="14"/>
      <c r="F124" s="11"/>
      <c r="G124" s="11"/>
      <c r="H124" s="59">
        <v>59246064</v>
      </c>
      <c r="I124" s="83"/>
      <c r="J124" s="83"/>
      <c r="K124" s="86">
        <f>K125</f>
        <v>59246064</v>
      </c>
      <c r="L124" s="14"/>
      <c r="M124" s="14"/>
      <c r="N124" s="14"/>
      <c r="O124" s="14"/>
      <c r="P124" s="14"/>
    </row>
    <row r="125" spans="1:16" s="16" customFormat="1" ht="12.75" x14ac:dyDescent="0.25">
      <c r="A125" s="11"/>
      <c r="B125" s="11"/>
      <c r="C125" s="11"/>
      <c r="D125" s="12" t="s">
        <v>8</v>
      </c>
      <c r="E125" s="14"/>
      <c r="F125" s="11"/>
      <c r="G125" s="11"/>
      <c r="H125" s="59">
        <v>59246064</v>
      </c>
      <c r="I125" s="83"/>
      <c r="J125" s="83"/>
      <c r="K125" s="52">
        <v>59246064</v>
      </c>
      <c r="L125" s="14"/>
      <c r="M125" s="14"/>
      <c r="N125" s="14"/>
      <c r="O125" s="14"/>
      <c r="P125" s="14"/>
    </row>
    <row r="126" spans="1:16" s="16" customFormat="1" ht="12.75" x14ac:dyDescent="0.25">
      <c r="A126" s="11"/>
      <c r="B126" s="11"/>
      <c r="C126" s="11"/>
      <c r="D126" s="12" t="s">
        <v>198</v>
      </c>
      <c r="E126" s="14"/>
      <c r="F126" s="11"/>
      <c r="G126" s="11"/>
      <c r="H126" s="59">
        <v>0</v>
      </c>
      <c r="I126" s="83"/>
      <c r="J126" s="83"/>
      <c r="K126" s="52">
        <v>39467543</v>
      </c>
      <c r="L126" s="14"/>
      <c r="M126" s="14"/>
      <c r="N126" s="14"/>
      <c r="O126" s="14"/>
      <c r="P126" s="14"/>
    </row>
    <row r="127" spans="1:16" s="7" customFormat="1" x14ac:dyDescent="0.25">
      <c r="A127" s="41"/>
      <c r="B127" s="41"/>
      <c r="C127" s="41"/>
      <c r="H127" s="69"/>
    </row>
    <row r="128" spans="1:16" s="7" customFormat="1" x14ac:dyDescent="0.25">
      <c r="A128" s="41"/>
      <c r="B128" s="41"/>
      <c r="C128" s="41"/>
      <c r="H128" s="69"/>
      <c r="M128" s="51"/>
      <c r="N128" s="51"/>
      <c r="O128" s="51"/>
    </row>
    <row r="129" spans="1:15" s="7" customFormat="1" x14ac:dyDescent="0.25">
      <c r="A129" s="41"/>
      <c r="B129" s="41"/>
      <c r="C129" s="41"/>
      <c r="H129" s="69"/>
      <c r="M129" s="51"/>
      <c r="N129" s="51"/>
      <c r="O129" s="51"/>
    </row>
    <row r="130" spans="1:15" s="7" customFormat="1" x14ac:dyDescent="0.25">
      <c r="A130" s="41"/>
      <c r="B130" s="41"/>
      <c r="C130" s="41"/>
      <c r="H130" s="69"/>
      <c r="M130" s="42"/>
      <c r="N130" s="42"/>
      <c r="O130" s="42"/>
    </row>
    <row r="131" spans="1:15" s="7" customFormat="1" x14ac:dyDescent="0.25">
      <c r="A131" s="41"/>
      <c r="B131" s="41"/>
      <c r="C131" s="41"/>
      <c r="H131" s="69"/>
      <c r="M131" s="42"/>
      <c r="N131" s="42"/>
      <c r="O131" s="42"/>
    </row>
    <row r="132" spans="1:15" s="7" customFormat="1" x14ac:dyDescent="0.25">
      <c r="A132" s="41"/>
      <c r="B132" s="41"/>
      <c r="C132" s="41"/>
      <c r="H132" s="69"/>
      <c r="M132" s="42"/>
      <c r="N132" s="42"/>
      <c r="O132" s="42"/>
    </row>
    <row r="133" spans="1:15" s="7" customFormat="1" x14ac:dyDescent="0.25">
      <c r="A133" s="41"/>
      <c r="B133" s="41"/>
      <c r="C133" s="41"/>
      <c r="H133" s="69"/>
      <c r="M133" s="51"/>
      <c r="N133" s="51"/>
      <c r="O133" s="51"/>
    </row>
    <row r="134" spans="1:15" ht="12.95" customHeight="1" x14ac:dyDescent="0.3">
      <c r="A134" s="3"/>
      <c r="B134" s="3"/>
      <c r="C134" s="3"/>
      <c r="D134" s="5"/>
      <c r="E134" s="3"/>
      <c r="F134" s="1"/>
      <c r="G134" s="1"/>
      <c r="H134" s="70"/>
      <c r="I134" s="1"/>
      <c r="J134" s="1"/>
      <c r="K134" s="1"/>
      <c r="L134" s="1"/>
      <c r="M134" s="4"/>
      <c r="N134" s="4"/>
      <c r="O134" s="4"/>
    </row>
    <row r="135" spans="1:15" ht="12.95" customHeight="1" x14ac:dyDescent="0.3">
      <c r="A135" s="3"/>
      <c r="B135" s="3"/>
      <c r="C135" s="3"/>
      <c r="D135" s="5"/>
      <c r="E135" s="3"/>
      <c r="F135" s="1"/>
      <c r="G135" s="1"/>
      <c r="H135" s="70"/>
      <c r="I135" s="1"/>
      <c r="J135" s="1"/>
      <c r="K135" s="1"/>
      <c r="L135" s="1"/>
      <c r="M135" s="4"/>
      <c r="N135" s="4"/>
      <c r="O135" s="4"/>
    </row>
    <row r="136" spans="1:15" ht="12.95" customHeight="1" x14ac:dyDescent="0.3">
      <c r="A136" s="3"/>
      <c r="B136" s="3"/>
      <c r="C136" s="3"/>
      <c r="D136" s="5"/>
      <c r="E136" s="3"/>
      <c r="F136" s="1"/>
      <c r="G136" s="1"/>
      <c r="H136" s="70"/>
      <c r="I136" s="1"/>
      <c r="J136" s="1"/>
      <c r="K136" s="1"/>
      <c r="L136" s="1"/>
      <c r="M136" s="4"/>
      <c r="N136" s="4"/>
      <c r="O136" s="4"/>
    </row>
    <row r="137" spans="1:15" ht="12.95" customHeight="1" x14ac:dyDescent="0.3">
      <c r="A137" s="3"/>
      <c r="B137" s="3"/>
      <c r="C137" s="3"/>
      <c r="D137" s="5"/>
      <c r="E137" s="3"/>
      <c r="F137" s="1"/>
      <c r="G137" s="1"/>
      <c r="H137" s="70"/>
      <c r="I137" s="1"/>
      <c r="J137" s="1"/>
      <c r="K137" s="1"/>
      <c r="L137" s="1"/>
      <c r="M137" s="4"/>
      <c r="N137" s="4"/>
      <c r="O137" s="4"/>
    </row>
    <row r="138" spans="1:15" ht="12.95" customHeight="1" x14ac:dyDescent="0.3">
      <c r="A138" s="3"/>
      <c r="B138" s="3"/>
      <c r="C138" s="3"/>
      <c r="D138" s="5"/>
      <c r="E138" s="3"/>
      <c r="F138" s="1"/>
      <c r="G138" s="1"/>
      <c r="H138" s="70"/>
      <c r="I138" s="1"/>
      <c r="J138" s="1"/>
      <c r="K138" s="1"/>
      <c r="L138" s="1"/>
      <c r="M138" s="4"/>
      <c r="N138" s="4"/>
      <c r="O138" s="4"/>
    </row>
    <row r="139" spans="1:15" ht="12.95" customHeight="1" x14ac:dyDescent="0.3">
      <c r="A139" s="3"/>
      <c r="B139" s="3"/>
      <c r="C139" s="3"/>
      <c r="D139" s="5"/>
      <c r="E139" s="3"/>
      <c r="F139" s="1"/>
      <c r="G139" s="1"/>
      <c r="H139" s="70"/>
      <c r="I139" s="1"/>
      <c r="J139" s="1"/>
      <c r="K139" s="1"/>
      <c r="L139" s="1"/>
      <c r="M139" s="4"/>
      <c r="N139" s="4"/>
      <c r="O139" s="4"/>
    </row>
    <row r="140" spans="1:15" ht="15.75" x14ac:dyDescent="0.3">
      <c r="A140" s="3"/>
      <c r="B140" s="3"/>
      <c r="C140" s="3"/>
      <c r="D140" s="3"/>
      <c r="E140" s="3"/>
    </row>
  </sheetData>
  <mergeCells count="19">
    <mergeCell ref="A18:C18"/>
    <mergeCell ref="M128:O128"/>
    <mergeCell ref="M129:O129"/>
    <mergeCell ref="M133:O133"/>
    <mergeCell ref="A15:C17"/>
    <mergeCell ref="D15:D17"/>
    <mergeCell ref="E15:E17"/>
    <mergeCell ref="F15:L15"/>
    <mergeCell ref="M15:P15"/>
    <mergeCell ref="F16:H16"/>
    <mergeCell ref="I16:L16"/>
    <mergeCell ref="M16:M17"/>
    <mergeCell ref="N16:N17"/>
    <mergeCell ref="O16:O17"/>
    <mergeCell ref="L5:O6"/>
    <mergeCell ref="A7:O7"/>
    <mergeCell ref="A8:O8"/>
    <mergeCell ref="A9:O9"/>
    <mergeCell ref="P16:P17"/>
  </mergeCells>
  <printOptions horizontalCentered="1"/>
  <pageMargins left="0.43307086614173229" right="0.23622047244094491" top="0.51181102362204722" bottom="0.23622047244094491" header="0.31496062992125984" footer="0.31496062992125984"/>
  <pageSetup paperSize="256" scale="68" firstPageNumber="11" orientation="landscape" useFirstPageNumber="1" horizontalDpi="4294967293" r:id="rId1"/>
  <headerFooter>
    <oddHeader>&amp;C-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realisasi kegiatan</vt:lpstr>
      <vt:lpstr>'realisasi kegiatan'!Print_Area</vt:lpstr>
      <vt:lpstr>'realisasi kegiatan'!Print_Titles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 Irmansyah</dc:creator>
  <cp:lastModifiedBy>Windows 8.1 Pro</cp:lastModifiedBy>
  <cp:lastPrinted>2021-01-22T02:54:51Z</cp:lastPrinted>
  <dcterms:created xsi:type="dcterms:W3CDTF">2017-02-28T14:46:21Z</dcterms:created>
  <dcterms:modified xsi:type="dcterms:W3CDTF">2021-03-13T05:06:33Z</dcterms:modified>
</cp:coreProperties>
</file>